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xr:revisionPtr revIDLastSave="0" documentId="13_ncr:1_{054144AF-29A2-4B40-BF97-1A8C6742CDED}" xr6:coauthVersionLast="47" xr6:coauthVersionMax="47" xr10:uidLastSave="{00000000-0000-0000-0000-000000000000}"/>
  <bookViews>
    <workbookView xWindow="28680" yWindow="-120" windowWidth="29040" windowHeight="15720" tabRatio="881" firstSheet="3" activeTab="8" xr2:uid="{2261D45D-329E-4045-929F-FA4CF611E66A}"/>
  </bookViews>
  <sheets>
    <sheet name="correls (2)" sheetId="530" r:id="rId1"/>
    <sheet name="China" sheetId="252" r:id="rId2"/>
    <sheet name="PAIR_Monitor" sheetId="338" r:id="rId3"/>
    <sheet name="BETAS" sheetId="446" r:id="rId4"/>
    <sheet name="Sheet3" sheetId="531" r:id="rId5"/>
    <sheet name="Sheet2" sheetId="529" r:id="rId6"/>
    <sheet name="Sheet1" sheetId="528" r:id="rId7"/>
    <sheet name="P&amp;L Pivot" sheetId="24" r:id="rId8"/>
    <sheet name="Master P&amp;L" sheetId="1" r:id="rId9"/>
    <sheet name="Options" sheetId="2" r:id="rId10"/>
    <sheet name="Options Price" sheetId="89" r:id="rId11"/>
    <sheet name="Check" sheetId="385" r:id="rId12"/>
    <sheet name="Input_APM" sheetId="384" r:id="rId13"/>
    <sheet name="Input_APM (Zenith)" sheetId="414" r:id="rId14"/>
    <sheet name="Check (Zenith)" sheetId="415" state="hidden" r:id="rId15"/>
    <sheet name="Auxiliar" sheetId="383" r:id="rId16"/>
    <sheet name="CDS" sheetId="54" r:id="rId17"/>
    <sheet name="Posições Custódia" sheetId="425" r:id="rId18"/>
    <sheet name="Check result" sheetId="444" r:id="rId19"/>
    <sheet name="Precificação" sheetId="527" r:id="rId20"/>
  </sheets>
  <functionGroups builtInGroupCount="19"/>
  <definedNames>
    <definedName name="_xlnm._FilterDatabase" localSheetId="11" hidden="1">Check!$A$4:$V$190</definedName>
    <definedName name="_xlnm._FilterDatabase" localSheetId="14" hidden="1">'Check (Zenith)'!$B$4:$E$151</definedName>
    <definedName name="_xlnm._FilterDatabase" localSheetId="12" hidden="1">Input_APM!$K$1:$O$397</definedName>
    <definedName name="_xlnm._FilterDatabase" localSheetId="8" hidden="1">'Master P&amp;L'!$A$11:$AD$62</definedName>
    <definedName name="_xlnm._FilterDatabase" localSheetId="9" hidden="1">Options!$A$3:$BD$36</definedName>
    <definedName name="_xlnm._FilterDatabase" localSheetId="17" hidden="1">'Posições Custódia'!$A$1:$O$1</definedName>
    <definedName name="CODIGO">#REF!</definedName>
    <definedName name="dat_ini1">#REF!</definedName>
    <definedName name="datPosicao">#REF!</definedName>
    <definedName name="feriados2">#REF!</definedName>
    <definedName name="Fundos">_xlfn._xlws.FILTER(_xlfn.UNIQUE(#REF!),_xlfn.UNIQUE(#REF!)&lt;&gt;"")</definedName>
    <definedName name="Fundos_2">_xlfn._xlws.FILTER(_xlfn.UNIQUE(#REF!),_xlfn.UNIQUE(#REF!)&lt;&gt;"")</definedName>
    <definedName name="Hoje">Auxiliar!$B$2</definedName>
    <definedName name="INI_TABELA">#REF!</definedName>
    <definedName name="INI_TABELA_C">#REF!</definedName>
    <definedName name="Input_Master">Auxiliar!$B$4</definedName>
    <definedName name="Input_Zenith">Auxiliar!$B$5</definedName>
    <definedName name="ListaBrokers">#REF!</definedName>
    <definedName name="Ontem">Auxiliar!$B$3</definedName>
    <definedName name="opcoes">#REF!</definedName>
    <definedName name="_xlnm.Print_Area" localSheetId="8">'Master P&amp;L'!$B$2:$AC$62</definedName>
    <definedName name="_xlnm.Print_Area" localSheetId="7">'P&amp;L Pivot'!$A$7:$F$60</definedName>
    <definedName name="RESUMO_TABELA">#REF!</definedName>
    <definedName name="RESUMO_TABELA_C">#REF!</definedName>
    <definedName name="SpreadsheetBuilder_1" hidden="1">#REF!</definedName>
  </definedNames>
  <calcPr calcId="191029"/>
  <pivotCaches>
    <pivotCache cacheId="30" r:id="rId2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AC41" i="1"/>
  <c r="AC40" i="1"/>
  <c r="AC36" i="1"/>
  <c r="K15" i="1"/>
  <c r="K51" i="1"/>
  <c r="K16" i="1"/>
  <c r="E5" i="1"/>
  <c r="AC35" i="1"/>
  <c r="AI35" i="1"/>
  <c r="AF12" i="1"/>
  <c r="AB27" i="1"/>
  <c r="AC12" i="1"/>
  <c r="AC45" i="1"/>
  <c r="AC44" i="1"/>
  <c r="AI15" i="1"/>
  <c r="AC27" i="1"/>
  <c r="AF41" i="1"/>
  <c r="AF40" i="1"/>
  <c r="AI12" i="1"/>
  <c r="K27" i="1"/>
  <c r="K44" i="1"/>
  <c r="AF43" i="1"/>
  <c r="AF42" i="1"/>
  <c r="AF15" i="1"/>
  <c r="AF16" i="1"/>
  <c r="AB36" i="1"/>
  <c r="K36" i="1"/>
  <c r="AF27" i="1"/>
  <c r="AF51" i="1"/>
  <c r="AB43" i="1"/>
  <c r="AB42" i="1"/>
  <c r="AB41" i="1"/>
  <c r="AB40" i="1"/>
  <c r="K42" i="1"/>
  <c r="AI51" i="1"/>
  <c r="AB51" i="1"/>
  <c r="AF36" i="1"/>
  <c r="AI16" i="1"/>
  <c r="K35" i="1"/>
  <c r="AF45" i="1"/>
  <c r="AF44" i="1"/>
  <c r="AC43" i="1"/>
  <c r="AC42" i="1"/>
  <c r="AB15" i="1"/>
  <c r="AI41" i="1"/>
  <c r="AI40" i="1"/>
  <c r="AB16" i="1"/>
  <c r="AI45" i="1"/>
  <c r="AI44" i="1"/>
  <c r="K12" i="1"/>
  <c r="AI43" i="1"/>
  <c r="AI42" i="1"/>
  <c r="AC51" i="1"/>
  <c r="AB45" i="1"/>
  <c r="AB44" i="1"/>
  <c r="AB12" i="1"/>
  <c r="AI36" i="1"/>
  <c r="AI27" i="1"/>
  <c r="K40" i="1"/>
  <c r="AC15" i="1"/>
  <c r="AB35" i="1"/>
  <c r="AF35" i="1"/>
  <c r="AC16" i="1"/>
  <c r="AB61" i="1"/>
  <c r="AF39" i="1"/>
  <c r="AF38" i="1"/>
  <c r="K56" i="1"/>
  <c r="AB24" i="1"/>
  <c r="AI39" i="1"/>
  <c r="AI38" i="1"/>
  <c r="K38" i="1"/>
  <c r="K24" i="1"/>
  <c r="AI37" i="1"/>
  <c r="AF61" i="1"/>
  <c r="AC37" i="1"/>
  <c r="AI14" i="1"/>
  <c r="AB39" i="1"/>
  <c r="AB38" i="1"/>
  <c r="AB37" i="1"/>
  <c r="AB13" i="1"/>
  <c r="K13" i="1"/>
  <c r="AC56" i="1"/>
  <c r="AI28" i="1"/>
  <c r="AF14" i="1"/>
  <c r="AC28" i="1" a="1"/>
  <c r="AC28" i="1"/>
  <c r="AC24" i="1"/>
  <c r="K37" i="1"/>
  <c r="AC39" i="1"/>
  <c r="AC38" i="1"/>
  <c r="AI24" i="1"/>
  <c r="AF37" i="1"/>
  <c r="AB28" i="1"/>
  <c r="AI56" i="1"/>
  <c r="AI13" i="1"/>
  <c r="AI61" i="1"/>
  <c r="AF13" i="1"/>
  <c r="AC61" i="1"/>
  <c r="AC14" i="1"/>
  <c r="AC13" i="1"/>
  <c r="K14" i="1"/>
  <c r="AF24" i="1"/>
  <c r="K61" i="1"/>
  <c r="AB14" i="1"/>
  <c r="AF28" i="1"/>
  <c r="AF56" i="1"/>
  <c r="AB56" i="1"/>
  <c r="K28" i="1"/>
  <c r="AG45" i="1"/>
  <c r="AG44" i="1"/>
  <c r="AG16" i="1"/>
  <c r="AG27" i="1"/>
  <c r="AG37" i="1"/>
  <c r="AG59" i="1"/>
  <c r="AG58" i="1"/>
  <c r="AG34" i="1"/>
  <c r="AG33" i="1"/>
  <c r="AG35" i="1"/>
  <c r="AG26" i="1"/>
  <c r="AG25" i="1"/>
  <c r="AG13" i="1"/>
  <c r="AG51" i="1"/>
  <c r="AC23" i="1"/>
  <c r="AC22" i="1"/>
  <c r="AC21" i="1"/>
  <c r="N6" i="1"/>
  <c r="AI62" i="1"/>
  <c r="AI60" i="1"/>
  <c r="AC59" i="1"/>
  <c r="AC58" i="1"/>
  <c r="AI34" i="1"/>
  <c r="AI33" i="1"/>
  <c r="K62" i="1"/>
  <c r="AC60" i="1"/>
  <c r="AC34" i="1"/>
  <c r="AC33" i="1"/>
  <c r="AI23" i="1"/>
  <c r="AI22" i="1"/>
  <c r="AI21" i="1"/>
  <c r="AC62" i="1"/>
  <c r="N2" i="1"/>
  <c r="AC20" i="1"/>
  <c r="AC19" i="1"/>
  <c r="N1" i="1"/>
  <c r="AI59" i="1"/>
  <c r="AI58" i="1"/>
  <c r="AI20" i="1"/>
  <c r="AI19" i="1"/>
  <c r="N5" i="1"/>
  <c r="K34" i="1"/>
  <c r="K58" i="1"/>
  <c r="K21" i="1"/>
  <c r="AG53" i="1"/>
  <c r="AG52" i="1"/>
  <c r="AG56" i="1"/>
  <c r="AG41" i="1"/>
  <c r="AG40" i="1"/>
  <c r="AG24" i="1"/>
  <c r="AG62" i="1"/>
  <c r="AG36" i="1"/>
  <c r="AG43" i="1"/>
  <c r="AG42" i="1"/>
  <c r="AG20" i="1"/>
  <c r="AG19" i="1"/>
  <c r="AG30" i="1"/>
  <c r="AG29" i="1"/>
  <c r="AG57" i="1"/>
  <c r="E6" i="1"/>
  <c r="E2" i="1"/>
  <c r="E9" i="1"/>
  <c r="AI32" i="1"/>
  <c r="AI31" i="1"/>
  <c r="AI26" i="1"/>
  <c r="AI25" i="1"/>
  <c r="K49" i="1"/>
  <c r="E7" i="1"/>
  <c r="K29" i="1"/>
  <c r="K52" i="1"/>
  <c r="K31" i="1"/>
  <c r="AI53" i="1"/>
  <c r="AI52" i="1"/>
  <c r="K25" i="1"/>
  <c r="E3" i="1"/>
  <c r="AI50" i="1"/>
  <c r="AI49" i="1"/>
  <c r="AI30" i="1"/>
  <c r="AI29" i="1"/>
  <c r="N3" i="1"/>
  <c r="J6" i="1"/>
  <c r="J1" i="1"/>
  <c r="J5" i="1"/>
  <c r="J4" i="1"/>
  <c r="N9" i="1"/>
  <c r="AG15" i="1"/>
  <c r="AG39" i="1"/>
  <c r="AG38" i="1"/>
  <c r="AG60" i="1"/>
  <c r="AG28" i="1"/>
  <c r="AG55" i="1"/>
  <c r="AG54" i="1"/>
  <c r="AG50" i="1"/>
  <c r="AG49" i="1"/>
  <c r="AG61" i="1"/>
  <c r="AG48" i="1"/>
  <c r="AG47" i="1"/>
  <c r="AG46" i="1"/>
  <c r="AG23" i="1"/>
  <c r="AG22" i="1"/>
  <c r="AG21" i="1"/>
  <c r="AG12" i="1"/>
  <c r="E8" i="1"/>
  <c r="J7" i="1"/>
  <c r="N8" i="1"/>
  <c r="J3" i="1"/>
  <c r="J8" i="1"/>
  <c r="N10" i="1"/>
  <c r="E4" i="1"/>
  <c r="N7" i="1"/>
  <c r="J2" i="1"/>
  <c r="N4" i="1"/>
  <c r="X3" i="1"/>
  <c r="E1" i="1"/>
  <c r="K46" i="1"/>
  <c r="K54" i="1"/>
  <c r="AI48" i="1"/>
  <c r="AI47" i="1"/>
  <c r="AI46" i="1"/>
  <c r="AC48" i="1"/>
  <c r="AC47" i="1"/>
  <c r="AC46" i="1"/>
  <c r="AC55" i="1"/>
  <c r="AC54" i="1"/>
  <c r="AI55" i="1"/>
  <c r="AI54" i="1"/>
  <c r="AB48" i="1"/>
  <c r="AB47" i="1"/>
  <c r="AB46" i="1"/>
  <c r="AB55" i="1"/>
  <c r="AB54" i="1"/>
  <c r="AG14" i="1"/>
  <c r="AG32" i="1"/>
  <c r="AG31" i="1"/>
  <c r="E10" i="1"/>
  <c r="AF10" i="1"/>
  <c r="AF57" i="1"/>
  <c r="AC57" i="1"/>
  <c r="AI57" i="1"/>
  <c r="AB57" i="1"/>
  <c r="L37" i="1"/>
  <c r="L36" i="1"/>
  <c r="L35" i="1"/>
  <c r="AG18" i="1"/>
  <c r="AG17" i="1"/>
  <c r="AC18" i="1"/>
  <c r="AC17" i="1"/>
  <c r="AF18" i="1"/>
  <c r="AF17" i="1"/>
  <c r="AB18" i="1"/>
  <c r="AB17" i="1"/>
  <c r="AI18" i="1"/>
  <c r="AI17" i="1"/>
  <c r="I41" i="1" a="1"/>
  <c r="I41" i="1"/>
  <c r="I16" i="1" a="1"/>
  <c r="I16" i="1"/>
  <c r="L1" i="1" a="1"/>
  <c r="L1" i="1"/>
  <c r="I43" i="1" a="1"/>
  <c r="I43" i="1"/>
  <c r="L3" i="1" a="1"/>
  <c r="L3" i="1"/>
  <c r="L9" i="1" a="1"/>
  <c r="L9" i="1"/>
  <c r="I61" i="1" a="1"/>
  <c r="I61" i="1"/>
  <c r="C1" i="1" a="1"/>
  <c r="C1" i="1"/>
  <c r="I51" i="1" a="1"/>
  <c r="I51" i="1"/>
  <c r="I12" i="1" a="1"/>
  <c r="I12" i="1"/>
  <c r="I37" i="1" a="1"/>
  <c r="I37" i="1"/>
  <c r="C4" i="1" a="1"/>
  <c r="C4" i="1"/>
  <c r="I20" i="1" a="1"/>
  <c r="I20" i="1"/>
  <c r="C10" i="1" a="1"/>
  <c r="C10" i="1"/>
  <c r="C2" i="1" a="1"/>
  <c r="C2" i="1"/>
  <c r="I56" i="1" a="1"/>
  <c r="I56" i="1"/>
  <c r="I28" i="1" a="1"/>
  <c r="I28" i="1"/>
  <c r="I57" i="1" a="1"/>
  <c r="I57" i="1"/>
  <c r="C9" i="1" a="1"/>
  <c r="C9" i="1"/>
  <c r="L10" i="1" a="1"/>
  <c r="L10" i="1"/>
  <c r="I33" i="1" a="1"/>
  <c r="I33" i="1"/>
  <c r="I24" i="1" a="1"/>
  <c r="I24" i="1"/>
  <c r="H3" i="1" a="1"/>
  <c r="H3" i="1"/>
  <c r="C5" i="1" a="1"/>
  <c r="C5" i="1"/>
  <c r="L6" i="1" a="1"/>
  <c r="L6" i="1"/>
  <c r="I55" i="1" a="1"/>
  <c r="I55" i="1"/>
  <c r="H1" i="1" a="1"/>
  <c r="H1" i="1"/>
  <c r="L5" i="1" a="1"/>
  <c r="L5" i="1"/>
  <c r="I59" i="1" a="1"/>
  <c r="I59" i="1"/>
  <c r="I50" i="1" a="1"/>
  <c r="I50" i="1"/>
  <c r="C8" i="1" a="1"/>
  <c r="C8" i="1"/>
  <c r="H2" i="1" a="1"/>
  <c r="H2" i="1"/>
  <c r="I13" i="1" a="1"/>
  <c r="I13" i="1"/>
  <c r="I15" i="1" a="1"/>
  <c r="I15" i="1"/>
  <c r="C3" i="1" a="1"/>
  <c r="C3" i="1"/>
  <c r="H4" i="1" a="1"/>
  <c r="H4" i="1"/>
  <c r="AC3" i="1" a="1"/>
  <c r="AC3" i="1"/>
  <c r="H6" i="1" a="1"/>
  <c r="H6" i="1"/>
  <c r="H5" i="1" a="1"/>
  <c r="H5" i="1"/>
  <c r="I35" i="1" a="1"/>
  <c r="I35" i="1"/>
  <c r="C6" i="1" a="1"/>
  <c r="C6" i="1"/>
  <c r="I23" i="1" a="1"/>
  <c r="I23" i="1"/>
  <c r="I62" i="1" a="1"/>
  <c r="I62" i="1"/>
  <c r="I45" i="1" a="1"/>
  <c r="I45" i="1"/>
  <c r="I32" i="1" a="1"/>
  <c r="I32" i="1"/>
  <c r="I53" i="1" a="1"/>
  <c r="I53" i="1"/>
  <c r="I27" i="1" a="1"/>
  <c r="I27" i="1"/>
  <c r="L7" i="1" a="1"/>
  <c r="L7" i="1"/>
  <c r="L8" i="1" a="1"/>
  <c r="L8" i="1"/>
  <c r="I26" i="1" a="1"/>
  <c r="I26" i="1"/>
  <c r="I30" i="1" a="1"/>
  <c r="I30" i="1"/>
  <c r="L4" i="1" a="1"/>
  <c r="L4" i="1"/>
  <c r="H8" i="1" a="1"/>
  <c r="H8" i="1"/>
  <c r="H7" i="1" a="1"/>
  <c r="H7" i="1"/>
  <c r="I60" i="1" a="1"/>
  <c r="I60" i="1"/>
  <c r="C7" i="1" a="1"/>
  <c r="C7" i="1"/>
  <c r="I36" i="1" a="1"/>
  <c r="I36" i="1"/>
  <c r="L2" i="1" a="1"/>
  <c r="L2" i="1"/>
  <c r="I39" i="1" a="1"/>
  <c r="I39" i="1"/>
  <c r="AD2" i="1" a="1"/>
  <c r="AD2" i="1"/>
  <c r="AB2" i="1" a="1"/>
  <c r="AB2" i="1"/>
  <c r="I18" i="1" a="1"/>
  <c r="I18" i="1"/>
  <c r="I48" i="1" a="1"/>
  <c r="I48" i="1"/>
  <c r="L48" i="1"/>
  <c r="AF48" i="1"/>
  <c r="S18" i="1" l="1"/>
  <c r="Q18" i="1"/>
  <c r="L18" i="1"/>
  <c r="J48" i="1" l="1"/>
  <c r="N48" i="1"/>
  <c r="T48" i="1" l="1"/>
  <c r="N18" i="1"/>
  <c r="J18" i="1"/>
  <c r="T18" i="1" l="1"/>
  <c r="AC2" i="1" a="1"/>
  <c r="F18" i="1" l="1"/>
  <c r="AC2" i="1"/>
  <c r="I17" i="1" a="1"/>
  <c r="I17" i="1"/>
  <c r="I47" i="1" a="1"/>
  <c r="I47" i="1"/>
  <c r="AQ8" i="2" a="1"/>
  <c r="AQ8" i="2" l="1"/>
  <c r="AB40" i="89" a="1"/>
  <c r="AB40" i="89" l="1"/>
  <c r="AB39" i="89" a="1"/>
  <c r="AB39" i="89" l="1"/>
  <c r="AB34" i="89" a="1"/>
  <c r="AB34" i="89" l="1"/>
  <c r="AB33" i="89" a="1"/>
  <c r="AB33" i="89"/>
  <c r="AB237" i="89" a="1"/>
  <c r="AB237" i="89"/>
  <c r="AC5" i="2" a="1"/>
  <c r="AC5" i="2"/>
  <c r="AB154" i="89" a="1"/>
  <c r="AB154" i="89"/>
  <c r="AC19" i="2" a="1"/>
  <c r="AC19" i="2"/>
  <c r="AC18" i="2" a="1"/>
  <c r="AC18" i="2"/>
  <c r="AC17" i="2" a="1"/>
  <c r="AC17" i="2"/>
  <c r="AC16" i="2" a="1"/>
  <c r="AC16" i="2"/>
  <c r="AC15" i="2" a="1"/>
  <c r="AC15" i="2"/>
  <c r="AC14" i="2" a="1"/>
  <c r="AC14" i="2"/>
  <c r="AQ9" i="2" a="1"/>
  <c r="AQ9" i="2"/>
  <c r="AC21" i="2" a="1"/>
  <c r="AC21" i="2"/>
  <c r="AC20" i="2" a="1"/>
  <c r="AC20" i="2"/>
  <c r="AC8" i="2" a="1"/>
  <c r="AC8" i="2"/>
  <c r="AC11" i="2" a="1"/>
  <c r="AC11" i="2"/>
  <c r="AC10" i="2" a="1"/>
  <c r="AC10" i="2"/>
  <c r="AQ4" i="2" a="1"/>
  <c r="AQ4" i="2"/>
  <c r="AC30" i="2" a="1"/>
  <c r="AC30" i="2"/>
  <c r="AQ30" i="2" a="1"/>
  <c r="AQ30" i="2"/>
  <c r="AC4" i="2" a="1"/>
  <c r="AC4" i="2"/>
  <c r="AB153" i="89" a="1"/>
  <c r="AB153" i="89"/>
  <c r="AQ11" i="2" a="1"/>
  <c r="AQ11" i="2"/>
  <c r="AQ10" i="2" a="1"/>
  <c r="AQ10" i="2"/>
  <c r="AB205" i="89" a="1"/>
  <c r="AB205" i="89"/>
  <c r="AB204" i="89" a="1"/>
  <c r="AB204" i="89"/>
  <c r="AQ21" i="2" a="1"/>
  <c r="AQ21" i="2"/>
  <c r="AQ20" i="2" a="1"/>
  <c r="AQ20" i="2"/>
  <c r="AB8" i="89" a="1"/>
  <c r="AB8" i="89"/>
  <c r="AB7" i="89" a="1"/>
  <c r="AB7" i="89"/>
  <c r="AC29" i="2" a="1"/>
  <c r="AC29" i="2"/>
  <c r="AC28" i="2" a="1"/>
  <c r="AC28" i="2"/>
  <c r="AQ5" i="2" a="1"/>
  <c r="AQ5" i="2"/>
  <c r="AB225" i="89" a="1"/>
  <c r="AB225" i="89"/>
  <c r="AB224" i="89" a="1"/>
  <c r="AB224" i="89"/>
  <c r="AB223" i="89" a="1"/>
  <c r="AB223" i="89"/>
  <c r="AB222" i="89" a="1"/>
  <c r="AB222" i="89"/>
  <c r="AC9" i="2" a="1"/>
  <c r="AC9" i="2"/>
  <c r="AQ13" i="2" a="1"/>
  <c r="AQ13" i="2"/>
  <c r="AQ12" i="2" a="1"/>
  <c r="AQ12" i="2"/>
  <c r="AB27" i="89" a="1"/>
  <c r="AB27" i="89"/>
  <c r="AB233" i="89" a="1"/>
  <c r="AB233" i="89"/>
  <c r="AB180" i="89" a="1"/>
  <c r="AB180" i="89"/>
  <c r="AB171" i="89" a="1"/>
  <c r="AB171" i="89"/>
  <c r="AB170" i="89" a="1"/>
  <c r="AB170" i="89"/>
  <c r="AB169" i="89" a="1"/>
  <c r="AB169" i="89"/>
  <c r="AB14" i="89" a="1"/>
  <c r="AB14" i="89"/>
  <c r="AB13" i="89" a="1"/>
  <c r="AB13" i="89"/>
  <c r="AQ19" i="2" a="1"/>
  <c r="AQ19" i="2"/>
  <c r="AQ18" i="2" a="1"/>
  <c r="AQ18" i="2"/>
  <c r="AQ17" i="2" a="1"/>
  <c r="AQ17" i="2"/>
  <c r="AQ16" i="2" a="1"/>
  <c r="AQ16" i="2"/>
  <c r="AQ15" i="2" a="1"/>
  <c r="AQ15" i="2"/>
  <c r="AQ14" i="2" a="1"/>
  <c r="AQ14" i="2"/>
  <c r="AB63" i="89" a="1"/>
  <c r="AB63" i="89"/>
  <c r="AB62" i="89" a="1"/>
  <c r="AB62" i="89"/>
  <c r="AQ29" i="2" a="1"/>
  <c r="AQ29" i="2"/>
  <c r="AQ28" i="2" a="1"/>
  <c r="AQ28" i="2"/>
  <c r="AC13" i="2" a="1"/>
  <c r="AC13" i="2"/>
  <c r="AC12" i="2" a="1"/>
  <c r="AC12" i="2"/>
  <c r="AB138" i="89" a="1"/>
  <c r="AB138" i="89"/>
  <c r="AB137" i="89" a="1"/>
  <c r="AB137" i="89"/>
  <c r="AB136" i="89" a="1"/>
  <c r="AB136" i="89"/>
  <c r="AB96" i="89" a="1"/>
  <c r="AB96" i="89"/>
  <c r="AB95" i="89" a="1"/>
  <c r="AB95" i="89"/>
  <c r="AB102" i="89" a="1"/>
  <c r="AB102" i="89"/>
  <c r="AB101" i="89" a="1"/>
  <c r="AB101" i="89"/>
  <c r="AB50" i="89" a="1"/>
  <c r="AB50" i="89"/>
  <c r="AB49" i="89" a="1"/>
  <c r="AB49" i="89"/>
  <c r="R123" i="89" a="1"/>
  <c r="R123" i="89"/>
  <c r="R122" i="89" a="1"/>
  <c r="R122" i="89"/>
  <c r="R116" i="89" a="1"/>
  <c r="R116" i="89"/>
  <c r="R115" i="89" a="1"/>
  <c r="R115" i="89"/>
  <c r="AB234" i="89" a="1"/>
  <c r="AB234" i="89"/>
  <c r="AB236" i="89" a="1"/>
  <c r="AB236" i="89"/>
  <c r="R138" i="89" a="1"/>
  <c r="R138" i="89"/>
  <c r="R137" i="89" a="1"/>
  <c r="R137" i="89"/>
  <c r="R136" i="89" a="1"/>
  <c r="R136" i="89"/>
  <c r="AB109" i="89" a="1"/>
  <c r="AB109" i="89"/>
  <c r="AB108" i="89" a="1"/>
  <c r="AB108" i="89"/>
  <c r="AB116" i="89" a="1"/>
  <c r="AB116" i="89"/>
  <c r="AB115" i="89" a="1"/>
  <c r="AB115" i="89"/>
  <c r="R96" i="89" a="1"/>
  <c r="R96" i="89"/>
  <c r="R95" i="89" a="1"/>
  <c r="R95" i="89"/>
  <c r="R102" i="89" a="1"/>
  <c r="R102" i="89"/>
  <c r="R101" i="89" a="1"/>
  <c r="R101" i="89"/>
  <c r="AB123" i="89" a="1"/>
  <c r="AB123" i="89"/>
  <c r="AB122" i="89" a="1"/>
  <c r="AB122" i="89"/>
  <c r="AB75" i="89" a="1"/>
  <c r="AB75" i="89"/>
  <c r="AC27" i="2" a="1"/>
  <c r="AC27" i="2"/>
  <c r="AC26" i="2" a="1"/>
  <c r="AC26" i="2"/>
  <c r="AC25" i="2" a="1"/>
  <c r="AC25" i="2"/>
  <c r="AC24" i="2" a="1"/>
  <c r="AC24" i="2"/>
  <c r="AC32" i="2" a="1"/>
  <c r="AC32" i="2"/>
  <c r="AC31" i="2" a="1"/>
  <c r="AC31" i="2"/>
  <c r="AQ27" i="2" a="1"/>
  <c r="AQ27" i="2"/>
  <c r="AQ26" i="2" a="1"/>
  <c r="AQ26" i="2"/>
  <c r="AQ25" i="2" a="1"/>
  <c r="AQ25" i="2"/>
  <c r="AQ24" i="2" a="1"/>
  <c r="AQ24" i="2"/>
  <c r="AB197" i="89" a="1"/>
  <c r="AB197" i="89"/>
  <c r="AB196" i="89" a="1"/>
  <c r="AB196" i="89"/>
  <c r="AB195" i="89" a="1"/>
  <c r="AB195" i="89"/>
  <c r="AQ7" i="2" a="1"/>
  <c r="AQ7" i="2"/>
  <c r="AQ6" i="2" a="1"/>
  <c r="AQ6" i="2"/>
  <c r="AQ23" i="2" a="1"/>
  <c r="AQ23" i="2"/>
  <c r="AQ22" i="2" a="1"/>
  <c r="AQ22" i="2"/>
  <c r="AB82" i="89" a="1"/>
  <c r="AB82" i="89"/>
  <c r="AB81" i="89" a="1"/>
  <c r="AB81" i="89"/>
  <c r="AB76" i="89" a="1"/>
  <c r="AB76" i="89"/>
  <c r="AB69" i="89" a="1"/>
  <c r="AB69" i="89"/>
  <c r="AB68" i="89" a="1"/>
  <c r="AB68" i="89"/>
  <c r="AB188" i="89" a="1"/>
  <c r="AB188" i="89"/>
  <c r="AB187" i="89" a="1"/>
  <c r="AB187" i="89"/>
  <c r="AB186" i="89" a="1"/>
  <c r="AB186" i="89"/>
  <c r="AC7" i="2" a="1"/>
  <c r="AC7" i="2"/>
  <c r="AC6" i="2" a="1"/>
  <c r="AC6" i="2"/>
  <c r="AC23" i="2" a="1"/>
  <c r="AC23" i="2"/>
  <c r="AC22" i="2" a="1"/>
  <c r="AC22" i="2"/>
  <c r="AQ32" i="2" a="1"/>
  <c r="AQ32" i="2"/>
  <c r="AQ31" i="2" a="1"/>
  <c r="AQ31" i="2"/>
  <c r="AB20" i="89" a="1"/>
  <c r="AB20" i="89"/>
  <c r="AB19" i="89" a="1"/>
  <c r="AB19" i="89"/>
  <c r="AB235" i="89" a="1"/>
  <c r="AB235" i="89"/>
  <c r="AB213" i="89" a="1"/>
  <c r="AB213" i="89"/>
  <c r="AB212" i="89" a="1"/>
  <c r="AB212" i="89"/>
  <c r="AB211" i="89" a="1"/>
  <c r="AB211" i="89"/>
  <c r="AB129" i="89" a="1"/>
  <c r="AB129" i="89"/>
  <c r="AB56" i="89" a="1"/>
  <c r="AB56" i="89"/>
  <c r="AB55" i="89" a="1"/>
  <c r="AB55" i="89"/>
  <c r="AB90" i="89" a="1"/>
  <c r="AB90" i="89"/>
  <c r="AB89" i="89" a="1"/>
  <c r="AB89" i="89"/>
  <c r="R90" i="89" a="1"/>
  <c r="R90" i="89"/>
  <c r="R89" i="89" a="1"/>
  <c r="R89" i="89"/>
  <c r="R145" i="89" a="1"/>
  <c r="R145" i="89"/>
  <c r="R144" i="89" a="1"/>
  <c r="R144" i="89"/>
  <c r="AB160" i="89" a="1"/>
  <c r="AB160" i="89"/>
  <c r="AB145" i="89" a="1"/>
  <c r="AB145" i="89"/>
  <c r="AB144" i="89" a="1"/>
  <c r="AB144" i="89"/>
  <c r="S101" i="89" a="1"/>
  <c r="S101" i="89"/>
  <c r="S90" i="89" a="1"/>
  <c r="S90" i="89"/>
  <c r="S129" i="89" a="1"/>
  <c r="S129" i="89"/>
  <c r="R129" i="89" a="1"/>
  <c r="S123" i="89" a="1"/>
  <c r="R129" i="89" l="1"/>
  <c r="S123" i="89"/>
  <c r="S138" i="89" a="1"/>
  <c r="S138" i="89"/>
  <c r="S234" i="89" a="1"/>
  <c r="S234" i="89"/>
  <c r="R234" i="89" a="1"/>
  <c r="S108" i="89" a="1"/>
  <c r="R234" i="89" l="1"/>
  <c r="S108" i="89"/>
  <c r="R108" i="89" a="1"/>
  <c r="Z9" i="2"/>
  <c r="AV9" i="2" s="1" a="1"/>
  <c r="S160" i="89" a="1"/>
  <c r="AV9" i="2" l="1"/>
  <c r="R108" i="89"/>
  <c r="S160" i="89"/>
  <c r="R160" i="89" a="1"/>
  <c r="S236" i="89" a="1"/>
  <c r="R160" i="89" l="1"/>
  <c r="S236" i="89"/>
  <c r="R236" i="89" a="1"/>
  <c r="S109" i="89" a="1"/>
  <c r="R236" i="89" l="1"/>
  <c r="S109" i="89"/>
  <c r="R109" i="89" a="1"/>
  <c r="S145" i="89" a="1"/>
  <c r="R109" i="89" l="1"/>
  <c r="S145" i="89"/>
  <c r="S116" i="89" a="1"/>
  <c r="S116" i="89"/>
  <c r="Z4" i="2"/>
  <c r="AV4" i="2" s="1" a="1"/>
  <c r="S20" i="89" a="1"/>
  <c r="AV4" i="2" l="1"/>
  <c r="S20" i="89"/>
  <c r="R20" i="89" a="1"/>
  <c r="S50" i="89" a="1"/>
  <c r="R20" i="89" l="1"/>
  <c r="S50" i="89"/>
  <c r="R50" i="89" a="1"/>
  <c r="S39" i="89" a="1"/>
  <c r="R50" i="89" l="1"/>
  <c r="S39" i="89"/>
  <c r="R39" i="89" a="1"/>
  <c r="Z18" i="2"/>
  <c r="AV18" i="2" s="1" a="1"/>
  <c r="S153" i="89" a="1"/>
  <c r="AV18" i="2" l="1"/>
  <c r="R39" i="89"/>
  <c r="S153" i="89"/>
  <c r="R153" i="89" a="1"/>
  <c r="S75" i="89" a="1"/>
  <c r="R153" i="89" l="1"/>
  <c r="S75" i="89"/>
  <c r="R75" i="89" a="1"/>
  <c r="S154" i="89" a="1"/>
  <c r="R75" i="89" l="1"/>
  <c r="S154" i="89"/>
  <c r="R154" i="89" a="1"/>
  <c r="Z29" i="2"/>
  <c r="AV29" i="2" s="1" a="1"/>
  <c r="Z27" i="2"/>
  <c r="AV27" i="2" s="1" a="1"/>
  <c r="S213" i="89" a="1"/>
  <c r="AV27" i="2" l="1"/>
  <c r="AV29" i="2"/>
  <c r="R154" i="89"/>
  <c r="S213" i="89"/>
  <c r="R213" i="89" a="1"/>
  <c r="S223" i="89" a="1"/>
  <c r="R213" i="89" l="1"/>
  <c r="S223" i="89"/>
  <c r="R223" i="89" a="1"/>
  <c r="S171" i="89" a="1"/>
  <c r="R223" i="89" l="1"/>
  <c r="S171" i="89"/>
  <c r="R171" i="89" a="1"/>
  <c r="S55" i="89" a="1"/>
  <c r="R171" i="89" l="1"/>
  <c r="S55" i="89"/>
  <c r="R55" i="89" a="1"/>
  <c r="S7" i="89" a="1"/>
  <c r="R55" i="89" l="1"/>
  <c r="S7" i="89"/>
  <c r="R7" i="89" a="1"/>
  <c r="Z30" i="2"/>
  <c r="AV30" i="2" s="1" a="1"/>
  <c r="Z10" i="2"/>
  <c r="AV10" i="2" s="1" a="1"/>
  <c r="C15" i="2" a="1"/>
  <c r="AV10" i="2" l="1"/>
  <c r="AV30" i="2"/>
  <c r="R7" i="89"/>
  <c r="C15" i="2"/>
  <c r="D14" i="2" a="1"/>
  <c r="D14" i="2"/>
  <c r="D22" i="2" a="1"/>
  <c r="D22" i="2"/>
  <c r="T8" i="2" a="1"/>
  <c r="T8" i="2"/>
  <c r="E9" i="2" a="1"/>
  <c r="E9" i="2"/>
  <c r="AD14" i="2" a="1"/>
  <c r="AD14" i="2"/>
  <c r="F14" i="2" a="1"/>
  <c r="F14" i="2"/>
  <c r="T31" i="2" a="1"/>
  <c r="T31" i="2"/>
  <c r="C4" i="2" a="1"/>
  <c r="C4" i="2"/>
  <c r="AD15" i="2" a="1"/>
  <c r="AD15" i="2"/>
  <c r="F8" i="2" a="1"/>
  <c r="F8" i="2"/>
  <c r="AR31" i="2" a="1"/>
  <c r="AR31" i="2"/>
  <c r="C14" i="2" a="1"/>
  <c r="C14" i="2"/>
  <c r="F15" i="2" a="1"/>
  <c r="F15" i="2"/>
  <c r="AR8" i="2" a="1"/>
  <c r="AR8" i="2"/>
  <c r="D8" i="2" a="1"/>
  <c r="D8" i="2"/>
  <c r="C22" i="2" a="1"/>
  <c r="C22" i="2"/>
  <c r="AD32" i="2" a="1"/>
  <c r="AD32" i="2"/>
  <c r="AA4" i="2" a="1"/>
  <c r="AA4" i="2"/>
  <c r="E8" i="2" a="1"/>
  <c r="E8" i="2"/>
  <c r="AR32" i="2" a="1"/>
  <c r="AR32" i="2"/>
  <c r="AA9" i="2" a="1"/>
  <c r="AA9" i="2"/>
  <c r="E14" i="2" a="1"/>
  <c r="E14" i="2"/>
  <c r="F9" i="2" a="1"/>
  <c r="F9" i="2"/>
  <c r="E4" i="2" a="1"/>
  <c r="E4" i="2"/>
  <c r="AR9" i="2" a="1"/>
  <c r="AR9" i="2"/>
  <c r="C32" i="2" a="1"/>
  <c r="C32" i="2"/>
  <c r="F4" i="2" a="1"/>
  <c r="F4" i="2"/>
  <c r="E15" i="2" a="1"/>
  <c r="E15" i="2"/>
  <c r="AR19" i="2" a="1"/>
  <c r="AR19" i="2"/>
  <c r="E19" i="2" a="1"/>
  <c r="E19" i="2"/>
  <c r="T9" i="2" a="1"/>
  <c r="T9" i="2"/>
  <c r="C19" i="2" a="1"/>
  <c r="C19" i="2"/>
  <c r="AD19" i="2" a="1"/>
  <c r="AD19" i="2"/>
  <c r="AD31" i="2" a="1"/>
  <c r="AD31" i="2"/>
  <c r="E32" i="2" a="1"/>
  <c r="E32" i="2"/>
  <c r="E22" i="2" a="1"/>
  <c r="E22" i="2"/>
  <c r="C8" i="2" a="1"/>
  <c r="C8" i="2"/>
  <c r="F19" i="2" a="1"/>
  <c r="F19" i="2"/>
  <c r="C31" i="2" a="1"/>
  <c r="C31" i="2"/>
  <c r="E31" i="2" a="1"/>
  <c r="E31" i="2"/>
  <c r="T15" i="2" a="1"/>
  <c r="T15" i="2"/>
  <c r="D15" i="2" a="1"/>
  <c r="D15" i="2"/>
  <c r="T4" i="2" a="1"/>
  <c r="T4" i="2"/>
  <c r="AA15" i="2" a="1"/>
  <c r="AA15" i="2"/>
  <c r="AA19" i="2" a="1"/>
  <c r="AA19" i="2"/>
  <c r="D32" i="2" a="1"/>
  <c r="D32" i="2"/>
  <c r="F32" i="2" a="1"/>
  <c r="F32" i="2"/>
  <c r="AA31" i="2" a="1"/>
  <c r="AA31" i="2"/>
  <c r="AD4" i="2" a="1"/>
  <c r="AD4" i="2"/>
  <c r="AA8" i="2" a="1"/>
  <c r="AA8" i="2"/>
  <c r="AR14" i="2" a="1"/>
  <c r="AR14" i="2"/>
  <c r="AD8" i="2" a="1"/>
  <c r="AD8" i="2"/>
  <c r="C9" i="2" a="1"/>
  <c r="C9" i="2"/>
  <c r="AR4" i="2" a="1"/>
  <c r="AR4" i="2"/>
  <c r="D4" i="2" a="1"/>
  <c r="D4" i="2"/>
  <c r="AA32" i="2" a="1"/>
  <c r="AA32" i="2"/>
  <c r="F22" i="2" a="1"/>
  <c r="F22" i="2"/>
  <c r="F31" i="2" a="1"/>
  <c r="F31" i="2"/>
  <c r="AR15" i="2" a="1"/>
  <c r="AR15" i="2"/>
  <c r="T22" i="2" a="1"/>
  <c r="T22" i="2"/>
  <c r="T19" i="2" a="1"/>
  <c r="T19" i="2"/>
  <c r="AA14" i="2" a="1"/>
  <c r="AA14" i="2"/>
  <c r="D9" i="2" a="1"/>
  <c r="D9" i="2"/>
  <c r="T32" i="2" a="1"/>
  <c r="T32" i="2"/>
  <c r="AD9" i="2" a="1"/>
  <c r="AD9" i="2"/>
  <c r="D31" i="2" a="1"/>
  <c r="D31" i="2"/>
  <c r="AR22" i="2" a="1"/>
  <c r="AR22" i="2"/>
  <c r="D19" i="2" a="1"/>
  <c r="D19" i="2"/>
  <c r="AA22" i="2" a="1"/>
  <c r="AA22" i="2"/>
  <c r="T14" i="2" a="1"/>
  <c r="T14" i="2"/>
  <c r="AD22" i="2" a="1"/>
  <c r="AD22" i="2"/>
  <c r="Z7" i="2"/>
  <c r="AV7" i="2" s="1" a="1"/>
  <c r="D160" i="89" a="1"/>
  <c r="AV7" i="2" l="1"/>
  <c r="D160" i="89"/>
  <c r="V96" i="89" a="1"/>
  <c r="V96" i="89"/>
  <c r="E102" i="89" a="1"/>
  <c r="E102" i="89"/>
  <c r="C129" i="89" a="1"/>
  <c r="C129" i="89"/>
  <c r="T129" i="89" a="1"/>
  <c r="T129" i="89"/>
  <c r="V115" i="89" a="1"/>
  <c r="V115" i="89"/>
  <c r="E108" i="89" a="1"/>
  <c r="E108" i="89"/>
  <c r="C115" i="89" a="1"/>
  <c r="C115" i="89"/>
  <c r="C123" i="89" a="1"/>
  <c r="C123" i="89"/>
  <c r="Z116" i="89" a="1"/>
  <c r="Z116" i="89"/>
  <c r="AA116" i="89" a="1"/>
  <c r="AA116" i="89"/>
  <c r="D123" i="89" a="1"/>
  <c r="D123" i="89"/>
  <c r="E137" i="89" a="1"/>
  <c r="E137" i="89"/>
  <c r="V102" i="89" a="1"/>
  <c r="V102" i="89"/>
  <c r="Z96" i="89" a="1"/>
  <c r="Z96" i="89"/>
  <c r="AA96" i="89" a="1"/>
  <c r="AA96" i="89"/>
  <c r="C137" i="89" a="1"/>
  <c r="C137" i="89"/>
  <c r="E160" i="89" a="1"/>
  <c r="E160" i="89"/>
  <c r="D102" i="89" a="1"/>
  <c r="D102" i="89"/>
  <c r="T160" i="89" a="1"/>
  <c r="T160" i="89"/>
  <c r="D115" i="89" a="1"/>
  <c r="D115" i="89"/>
  <c r="D116" i="89" a="1"/>
  <c r="D116" i="89"/>
  <c r="E122" i="89" a="1"/>
  <c r="E122" i="89"/>
  <c r="V137" i="89" a="1"/>
  <c r="V137" i="89"/>
  <c r="E116" i="89" a="1"/>
  <c r="E116" i="89"/>
  <c r="C160" i="89" a="1"/>
  <c r="C160" i="89"/>
  <c r="E96" i="89" a="1"/>
  <c r="E96" i="89"/>
  <c r="Z137" i="89" a="1"/>
  <c r="Z137" i="89"/>
  <c r="AA137" i="89" a="1"/>
  <c r="AA137" i="89"/>
  <c r="T102" i="89" a="1"/>
  <c r="T102" i="89"/>
  <c r="E129" i="89" a="1"/>
  <c r="E129" i="89"/>
  <c r="T123" i="89" a="1"/>
  <c r="T123" i="89"/>
  <c r="E123" i="89" a="1"/>
  <c r="E123" i="89"/>
  <c r="T108" i="89" a="1"/>
  <c r="T108" i="89"/>
  <c r="C116" i="89" a="1"/>
  <c r="C116" i="89"/>
  <c r="T96" i="89" a="1"/>
  <c r="T96" i="89"/>
  <c r="V108" i="89" a="1"/>
  <c r="V108" i="89"/>
  <c r="D108" i="89" a="1"/>
  <c r="D108" i="89"/>
  <c r="Z129" i="89" a="1"/>
  <c r="Z129" i="89"/>
  <c r="AA129" i="89" a="1"/>
  <c r="AA129" i="89"/>
  <c r="T122" i="89" a="1"/>
  <c r="T122" i="89"/>
  <c r="E115" i="89" a="1"/>
  <c r="E115" i="89"/>
  <c r="D137" i="89" a="1"/>
  <c r="D137" i="89"/>
  <c r="V116" i="89" a="1"/>
  <c r="V116" i="89"/>
  <c r="V129" i="89" a="1"/>
  <c r="V129" i="89"/>
  <c r="C102" i="89" a="1"/>
  <c r="C102" i="89"/>
  <c r="C96" i="89" a="1"/>
  <c r="C96" i="89"/>
  <c r="V123" i="89" a="1"/>
  <c r="V123" i="89"/>
  <c r="Z115" i="89" a="1"/>
  <c r="Z115" i="89"/>
  <c r="AA115" i="89" a="1"/>
  <c r="AA115" i="89"/>
  <c r="Z122" i="89" a="1"/>
  <c r="Z122" i="89"/>
  <c r="AA122" i="89" a="1"/>
  <c r="AA122" i="89"/>
  <c r="Z123" i="89" a="1"/>
  <c r="Z123" i="89"/>
  <c r="AA123" i="89" a="1"/>
  <c r="AA123" i="89"/>
  <c r="C108" i="89" a="1"/>
  <c r="C108" i="89"/>
  <c r="V122" i="89" a="1"/>
  <c r="V122" i="89"/>
  <c r="V160" i="89" a="1"/>
  <c r="V160" i="89"/>
  <c r="T115" i="89" a="1"/>
  <c r="T115" i="89"/>
  <c r="D96" i="89" a="1"/>
  <c r="D96" i="89"/>
  <c r="T137" i="89" a="1"/>
  <c r="T137" i="89"/>
  <c r="C122" i="89" a="1"/>
  <c r="C122" i="89"/>
  <c r="Z102" i="89" a="1"/>
  <c r="Z102" i="89"/>
  <c r="AA102" i="89" a="1"/>
  <c r="AA102" i="89"/>
  <c r="D129" i="89" a="1"/>
  <c r="D129" i="89"/>
  <c r="Z160" i="89" a="1"/>
  <c r="Z160" i="89"/>
  <c r="AA160" i="89" a="1"/>
  <c r="AA160" i="89"/>
  <c r="D122" i="89" a="1"/>
  <c r="D122" i="89"/>
  <c r="T116" i="89" a="1"/>
  <c r="T116" i="89"/>
  <c r="Z108" i="89" a="1"/>
  <c r="Z108" i="89"/>
  <c r="AA108" i="89" a="1"/>
  <c r="AA108" i="89"/>
  <c r="V49" i="89" a="1"/>
  <c r="V49" i="89"/>
  <c r="T224" i="89" a="1"/>
  <c r="T224" i="89"/>
  <c r="C19" i="89"/>
  <c r="V236" i="89" a="1"/>
  <c r="V236" i="89"/>
  <c r="V19" i="89"/>
  <c r="O49" i="89" a="1"/>
  <c r="O49" i="89"/>
  <c r="V212" i="89" a="1"/>
  <c r="V212" i="89"/>
  <c r="AA56" i="89" a="1"/>
  <c r="AA56" i="89"/>
  <c r="O56" i="89" a="1"/>
  <c r="O56" i="89"/>
  <c r="Z56" i="89" a="1"/>
  <c r="V224" i="89" a="1"/>
  <c r="Z56" i="89" l="1"/>
  <c r="V224" i="89"/>
  <c r="V68" i="89" a="1"/>
  <c r="V68" i="89"/>
  <c r="O236" i="89" a="1"/>
  <c r="O236" i="89"/>
  <c r="O212" i="89" a="1"/>
  <c r="O212" i="89"/>
  <c r="Z212" i="89" a="1"/>
  <c r="T34" i="89" a="1"/>
  <c r="Z212" i="89" l="1"/>
  <c r="T34" i="89"/>
  <c r="T234" i="89" a="1"/>
  <c r="T234" i="89"/>
  <c r="C68" i="89" a="1"/>
  <c r="C68" i="89"/>
  <c r="Z236" i="89" a="1"/>
  <c r="Z236" i="89"/>
  <c r="C224" i="89" a="1"/>
  <c r="C224" i="89"/>
  <c r="C56" i="89" a="1"/>
  <c r="C56" i="89"/>
  <c r="V40" i="89" a="1"/>
  <c r="V40" i="89"/>
  <c r="V34" i="89" a="1"/>
  <c r="V34" i="89"/>
  <c r="T68" i="89" a="1"/>
  <c r="T68" i="89"/>
  <c r="O234" i="89" a="1"/>
  <c r="O234" i="89"/>
  <c r="Z234" i="89" a="1"/>
  <c r="C49" i="89" a="1"/>
  <c r="Z234" i="89" l="1"/>
  <c r="C49" i="89"/>
  <c r="T236" i="89" a="1"/>
  <c r="T236" i="89"/>
  <c r="C34" i="89" a="1"/>
  <c r="C34" i="89"/>
  <c r="V234" i="89" a="1"/>
  <c r="V234" i="89"/>
  <c r="O68" i="89" a="1"/>
  <c r="O68" i="89"/>
  <c r="T49" i="89" a="1"/>
  <c r="T49" i="89"/>
  <c r="T56" i="89" a="1"/>
  <c r="T56" i="89"/>
  <c r="O40" i="89" a="1"/>
  <c r="O40" i="89"/>
  <c r="T40" i="89" a="1"/>
  <c r="T40" i="89"/>
  <c r="Z40" i="89" a="1"/>
  <c r="Z40" i="89"/>
  <c r="C212" i="89" a="1"/>
  <c r="C212" i="89"/>
  <c r="O224" i="89" a="1"/>
  <c r="O224" i="89"/>
  <c r="Z224" i="89" a="1"/>
  <c r="Z68" i="89" a="1"/>
  <c r="Z224" i="89" l="1"/>
  <c r="Z68" i="89"/>
  <c r="AA68" i="89" a="1"/>
  <c r="AA68" i="89"/>
  <c r="T19" i="89"/>
  <c r="C234" i="89" a="1"/>
  <c r="C234" i="89"/>
  <c r="T212" i="89" a="1"/>
  <c r="T212" i="89"/>
  <c r="V56" i="89" a="1"/>
  <c r="V56" i="89"/>
  <c r="Z49" i="89" a="1"/>
  <c r="Z49" i="89"/>
  <c r="O34" i="89" a="1"/>
  <c r="O34" i="89"/>
  <c r="Z34" i="89" a="1"/>
  <c r="C236" i="89" a="1"/>
  <c r="Z34" i="89" l="1"/>
  <c r="C236" i="89"/>
  <c r="C40" i="89" a="1"/>
  <c r="C40" i="89"/>
  <c r="O19" i="89"/>
  <c r="Z19" i="89" s="1" a="1"/>
  <c r="Z19" i="89" l="1"/>
  <c r="V69" i="89" a="1"/>
  <c r="V69" i="89"/>
  <c r="D69" i="89" a="1"/>
  <c r="D69" i="89"/>
  <c r="AA69" i="89" a="1"/>
  <c r="AA69" i="89"/>
  <c r="T69" i="89" a="1"/>
  <c r="T69" i="89"/>
  <c r="O69" i="89" a="1"/>
  <c r="O69" i="89"/>
  <c r="Z69" i="89" a="1"/>
  <c r="E69" i="89" a="1"/>
  <c r="Z69" i="89" l="1"/>
  <c r="E69" i="89"/>
  <c r="C69" i="89" a="1"/>
  <c r="C69" i="89"/>
  <c r="X46" i="338" a="1"/>
  <c r="X46" i="338"/>
  <c r="P50" i="338" a="1"/>
  <c r="P50" i="338"/>
  <c r="P11" i="338" a="1"/>
  <c r="P11" i="338"/>
  <c r="P36" i="338" a="1"/>
  <c r="P36" i="338"/>
  <c r="S18" i="338" a="1"/>
  <c r="S18" i="338"/>
  <c r="P18" i="338" a="1"/>
  <c r="P18" i="338"/>
  <c r="S50" i="338" a="1"/>
  <c r="S50" i="338"/>
  <c r="P8" i="338" a="1"/>
  <c r="P8" i="338"/>
  <c r="S49" i="338" a="1"/>
  <c r="S49" i="338"/>
  <c r="T50" i="338" a="1"/>
  <c r="T50" i="338"/>
  <c r="X39" i="338" a="1"/>
  <c r="X39" i="338"/>
  <c r="X15" i="338" a="1"/>
  <c r="X15" i="338"/>
  <c r="T18" i="338" a="1"/>
  <c r="T18" i="338"/>
  <c r="T8" i="338" a="1"/>
  <c r="T8" i="338"/>
  <c r="X50" i="338" a="1"/>
  <c r="X50" i="338"/>
  <c r="X52" i="338" a="1"/>
  <c r="X52" i="338"/>
  <c r="T46" i="338" a="1"/>
  <c r="T46" i="338"/>
  <c r="S39" i="338" a="1"/>
  <c r="S39" i="338"/>
  <c r="S15" i="338" a="1"/>
  <c r="S15" i="338"/>
  <c r="X8" i="338" a="1"/>
  <c r="X8" i="338"/>
  <c r="X18" i="338" a="1"/>
  <c r="X18" i="338"/>
  <c r="T52" i="338" a="1"/>
  <c r="T52" i="338"/>
  <c r="S46" i="338" a="1"/>
  <c r="S46" i="338"/>
  <c r="X36" i="338" a="1"/>
  <c r="X36" i="338"/>
  <c r="P39" i="338" a="1"/>
  <c r="P39" i="338"/>
  <c r="P15" i="338" a="1"/>
  <c r="P15" i="338"/>
  <c r="S36" i="338" a="1"/>
  <c r="S36" i="338"/>
  <c r="S52" i="338" a="1"/>
  <c r="S52" i="338"/>
  <c r="T49" i="338" a="1"/>
  <c r="T49" i="338"/>
  <c r="T11" i="338" a="1"/>
  <c r="T11" i="338"/>
  <c r="P49" i="338" a="1"/>
  <c r="P49" i="338"/>
  <c r="T33" i="338" a="1"/>
  <c r="T33" i="338"/>
  <c r="S33" i="338" a="1"/>
  <c r="S33" i="338"/>
  <c r="P33" i="338" a="1"/>
  <c r="P33" i="338"/>
  <c r="X11" i="338" a="1"/>
  <c r="X11" i="338"/>
  <c r="P46" i="338" a="1"/>
  <c r="P46" i="338"/>
  <c r="X33" i="338" a="1"/>
  <c r="X33" i="338"/>
  <c r="S8" i="338" a="1"/>
  <c r="S8" i="338"/>
  <c r="P52" i="338" a="1"/>
  <c r="P52" i="338"/>
  <c r="S11" i="338" a="1"/>
  <c r="S11" i="338"/>
  <c r="T39" i="338" a="1"/>
  <c r="T39" i="338"/>
  <c r="T15" i="338" a="1"/>
  <c r="T15" i="338"/>
  <c r="T36" i="338" a="1"/>
  <c r="T36" i="338"/>
  <c r="X49" i="338" a="1"/>
  <c r="X49" i="338"/>
  <c r="G29" i="446" a="1"/>
  <c r="G29" i="446"/>
  <c r="G28" i="446" a="1"/>
  <c r="G28" i="446"/>
  <c r="D28" i="446" a="1"/>
  <c r="D28" i="446"/>
  <c r="F29" i="446" a="1"/>
  <c r="F29" i="446"/>
  <c r="F28" i="446" a="1"/>
  <c r="F28" i="446"/>
  <c r="G44" i="446" a="1"/>
  <c r="G44" i="446"/>
  <c r="D29" i="446" a="1"/>
  <c r="D29" i="446"/>
  <c r="D43" i="446" a="1"/>
  <c r="D43" i="446"/>
  <c r="F31" i="446" a="1"/>
  <c r="F31" i="446"/>
  <c r="F45" i="446" a="1"/>
  <c r="F45" i="446"/>
  <c r="G31" i="446" a="1"/>
  <c r="G31" i="446"/>
  <c r="G43" i="446" a="1"/>
  <c r="G43" i="446"/>
  <c r="F44" i="446" a="1"/>
  <c r="F44" i="446"/>
  <c r="D45" i="446" a="1"/>
  <c r="D45" i="446"/>
  <c r="D31" i="446" a="1"/>
  <c r="D31" i="446"/>
  <c r="G45" i="446" a="1"/>
  <c r="G45" i="446"/>
  <c r="D44" i="446" a="1"/>
  <c r="D44" i="446"/>
  <c r="F43" i="446" a="1"/>
  <c r="F43" i="446"/>
  <c r="E145" i="89" a="1"/>
  <c r="E145" i="89"/>
  <c r="T90" i="89" a="1"/>
  <c r="T90" i="89"/>
  <c r="V89" i="89" a="1"/>
  <c r="V89" i="89"/>
  <c r="V109" i="89" a="1"/>
  <c r="V109" i="89"/>
  <c r="V90" i="89" a="1"/>
  <c r="V90" i="89"/>
  <c r="D145" i="89" a="1"/>
  <c r="D145" i="89"/>
  <c r="V144" i="89" a="1"/>
  <c r="V144" i="89"/>
  <c r="D109" i="89" a="1"/>
  <c r="D109" i="89"/>
  <c r="Z89" i="89" a="1"/>
  <c r="Z89" i="89"/>
  <c r="AA89" i="89" a="1"/>
  <c r="AA89" i="89"/>
  <c r="C90" i="89" a="1"/>
  <c r="C90" i="89"/>
  <c r="D101" i="89" a="1"/>
  <c r="D101" i="89"/>
  <c r="T136" i="89" a="1"/>
  <c r="T136" i="89"/>
  <c r="C136" i="89" a="1"/>
  <c r="C136" i="89"/>
  <c r="T138" i="89" a="1"/>
  <c r="T138" i="89"/>
  <c r="E89" i="89" a="1"/>
  <c r="E89" i="89"/>
  <c r="C95" i="89" a="1"/>
  <c r="C95" i="89"/>
  <c r="V136" i="89" a="1"/>
  <c r="V136" i="89"/>
  <c r="V101" i="89" a="1"/>
  <c r="V101" i="89"/>
  <c r="Z145" i="89" a="1"/>
  <c r="Z145" i="89"/>
  <c r="AA145" i="89" a="1"/>
  <c r="AA145" i="89"/>
  <c r="D90" i="89" a="1"/>
  <c r="D90" i="89"/>
  <c r="C89" i="89" a="1"/>
  <c r="C89" i="89"/>
  <c r="V138" i="89" a="1"/>
  <c r="V138" i="89"/>
  <c r="Z90" i="89" a="1"/>
  <c r="Z90" i="89"/>
  <c r="AA90" i="89" a="1"/>
  <c r="AA90" i="89"/>
  <c r="Z138" i="89" a="1"/>
  <c r="Z138" i="89"/>
  <c r="AA138" i="89" a="1"/>
  <c r="AA138" i="89"/>
  <c r="V95" i="89" a="1"/>
  <c r="V95" i="89"/>
  <c r="C138" i="89" a="1"/>
  <c r="C138" i="89"/>
  <c r="C145" i="89" a="1"/>
  <c r="C145" i="89"/>
  <c r="E101" i="89" a="1"/>
  <c r="E101" i="89"/>
  <c r="V145" i="89" a="1"/>
  <c r="V145" i="89"/>
  <c r="D95" i="89" a="1"/>
  <c r="D95" i="89"/>
  <c r="Z101" i="89" a="1"/>
  <c r="Z101" i="89"/>
  <c r="AA101" i="89" a="1"/>
  <c r="AA101" i="89"/>
  <c r="D89" i="89" a="1"/>
  <c r="D89" i="89"/>
  <c r="C109" i="89" a="1"/>
  <c r="C109" i="89"/>
  <c r="D138" i="89" a="1"/>
  <c r="D138" i="89"/>
  <c r="D144" i="89" a="1"/>
  <c r="D144" i="89"/>
  <c r="Z109" i="89" a="1"/>
  <c r="Z109" i="89"/>
  <c r="AA109" i="89" a="1"/>
  <c r="AA109" i="89"/>
  <c r="E109" i="89" a="1"/>
  <c r="E109" i="89"/>
  <c r="E95" i="89" a="1"/>
  <c r="E95" i="89"/>
  <c r="E90" i="89" a="1"/>
  <c r="E90" i="89"/>
  <c r="T145" i="89" a="1"/>
  <c r="T145" i="89"/>
  <c r="Z95" i="89" a="1"/>
  <c r="Z95" i="89"/>
  <c r="AA95" i="89" a="1"/>
  <c r="AA95" i="89"/>
  <c r="C101" i="89" a="1"/>
  <c r="C101" i="89"/>
  <c r="T101" i="89" a="1"/>
  <c r="T101" i="89"/>
  <c r="Z144" i="89" a="1"/>
  <c r="Z144" i="89"/>
  <c r="AA144" i="89" a="1"/>
  <c r="AA144" i="89"/>
  <c r="T144" i="89" a="1"/>
  <c r="T144" i="89"/>
  <c r="E144" i="89" a="1"/>
  <c r="E144" i="89"/>
  <c r="T89" i="89" a="1"/>
  <c r="T89" i="89"/>
  <c r="T95" i="89" a="1"/>
  <c r="T95" i="89"/>
  <c r="Z136" i="89" a="1"/>
  <c r="Z136" i="89"/>
  <c r="AA136" i="89" a="1"/>
  <c r="AA136" i="89"/>
  <c r="E136" i="89" a="1"/>
  <c r="E136" i="89"/>
  <c r="T109" i="89" a="1"/>
  <c r="T109" i="89"/>
  <c r="D136" i="89" a="1"/>
  <c r="D136" i="89"/>
  <c r="E138" i="89" a="1"/>
  <c r="E138" i="89"/>
  <c r="C144" i="89" a="1"/>
  <c r="C144" i="89"/>
  <c r="T44" i="338" a="1"/>
  <c r="T44" i="338"/>
  <c r="P41" i="338" a="1"/>
  <c r="P41" i="338"/>
  <c r="T41" i="338" a="1"/>
  <c r="T41" i="338"/>
  <c r="T30" i="338" a="1"/>
  <c r="T30" i="338"/>
  <c r="X41" i="338" a="1"/>
  <c r="X41" i="338"/>
  <c r="S44" i="338" a="1"/>
  <c r="S44" i="338"/>
  <c r="P44" i="338" a="1"/>
  <c r="P44" i="338"/>
  <c r="T32" i="338" a="1"/>
  <c r="T32" i="338"/>
  <c r="S30" i="338" a="1"/>
  <c r="S30" i="338"/>
  <c r="X32" i="338" a="1"/>
  <c r="X32" i="338"/>
  <c r="X30" i="338" a="1"/>
  <c r="X30" i="338"/>
  <c r="P32" i="338" a="1"/>
  <c r="P32" i="338"/>
  <c r="P30" i="338" a="1"/>
  <c r="P30" i="338"/>
  <c r="S32" i="338" a="1"/>
  <c r="S32" i="338"/>
  <c r="S41" i="338" a="1"/>
  <c r="S41" i="338"/>
  <c r="X44" i="338" a="1"/>
  <c r="X44" i="338"/>
  <c r="X13" i="338" a="1"/>
  <c r="X13" i="338"/>
  <c r="X35" i="338" a="1"/>
  <c r="X35" i="338"/>
  <c r="P13" i="338" a="1"/>
  <c r="P13" i="338"/>
  <c r="T54" i="338" a="1"/>
  <c r="T54" i="338"/>
  <c r="P35" i="338" a="1"/>
  <c r="P35" i="338"/>
  <c r="T37" i="338" a="1"/>
  <c r="T37" i="338"/>
  <c r="X17" i="338" a="1"/>
  <c r="X17" i="338"/>
  <c r="S53" i="338" a="1"/>
  <c r="S53" i="338"/>
  <c r="P54" i="338" a="1"/>
  <c r="P54" i="338"/>
  <c r="S54" i="338" a="1"/>
  <c r="S54" i="338"/>
  <c r="T40" i="338" a="1"/>
  <c r="T40" i="338"/>
  <c r="P51" i="338" a="1"/>
  <c r="P51" i="338"/>
  <c r="X38" i="338" a="1"/>
  <c r="X38" i="338"/>
  <c r="X16" i="338" a="1"/>
  <c r="X16" i="338"/>
  <c r="T35" i="338" a="1"/>
  <c r="T35" i="338"/>
  <c r="T13" i="338" a="1"/>
  <c r="T13" i="338"/>
  <c r="P38" i="338" a="1"/>
  <c r="P38" i="338"/>
  <c r="P16" i="338" a="1"/>
  <c r="P16" i="338"/>
  <c r="P40" i="338" a="1"/>
  <c r="P40" i="338"/>
  <c r="T53" i="338" a="1"/>
  <c r="T53" i="338"/>
  <c r="S17" i="338" a="1"/>
  <c r="S17" i="338"/>
  <c r="T51" i="338" a="1"/>
  <c r="T51" i="338"/>
  <c r="T17" i="338" a="1"/>
  <c r="T17" i="338"/>
  <c r="X53" i="338" a="1"/>
  <c r="X53" i="338"/>
  <c r="S51" i="338" a="1"/>
  <c r="S51" i="338"/>
  <c r="S10" i="338" a="1"/>
  <c r="S10" i="338"/>
  <c r="P10" i="338" a="1"/>
  <c r="P10" i="338"/>
  <c r="S40" i="338" a="1"/>
  <c r="S40" i="338"/>
  <c r="T38" i="338" a="1"/>
  <c r="T38" i="338"/>
  <c r="T16" i="338" a="1"/>
  <c r="T16" i="338"/>
  <c r="X54" i="338" a="1"/>
  <c r="X54" i="338"/>
  <c r="S13" i="338" a="1"/>
  <c r="S13" i="338"/>
  <c r="T10" i="338" a="1"/>
  <c r="T10" i="338"/>
  <c r="S35" i="338" a="1"/>
  <c r="S35" i="338"/>
  <c r="P37" i="338" a="1"/>
  <c r="P37" i="338"/>
  <c r="P17" i="338" a="1"/>
  <c r="P17" i="338"/>
  <c r="X37" i="338" a="1"/>
  <c r="X37" i="338"/>
  <c r="X40" i="338" a="1"/>
  <c r="X40" i="338"/>
  <c r="X10" i="338" a="1"/>
  <c r="X10" i="338"/>
  <c r="S38" i="338" a="1"/>
  <c r="S38" i="338"/>
  <c r="S16" i="338" a="1"/>
  <c r="S16" i="338"/>
  <c r="X51" i="338" a="1"/>
  <c r="X51" i="338"/>
  <c r="P53" i="338" a="1"/>
  <c r="P53" i="338"/>
  <c r="S37" i="338" a="1"/>
  <c r="S37" i="338"/>
  <c r="E236" i="89" a="1"/>
  <c r="E236" i="89"/>
  <c r="E170" i="89" a="1"/>
  <c r="E170" i="89"/>
  <c r="E186" i="89" a="1"/>
  <c r="E186" i="89"/>
  <c r="E180" i="89" a="1"/>
  <c r="E180" i="89"/>
  <c r="E213" i="89" a="1"/>
  <c r="E213" i="89"/>
  <c r="E169" i="89" a="1"/>
  <c r="E169" i="89"/>
  <c r="E235" i="89" a="1"/>
  <c r="E235" i="89"/>
  <c r="E233" i="89" a="1"/>
  <c r="E233" i="89"/>
  <c r="E188" i="89" a="1"/>
  <c r="E188" i="89"/>
  <c r="E234" i="89" a="1"/>
  <c r="E234" i="89"/>
  <c r="S45" i="338" a="1"/>
  <c r="S45" i="338"/>
  <c r="S29" i="338" a="1"/>
  <c r="S29" i="338"/>
  <c r="S9" i="338" a="1"/>
  <c r="S9" i="338"/>
  <c r="X42" i="338" a="1"/>
  <c r="X42" i="338"/>
  <c r="X34" i="338" a="1"/>
  <c r="X34" i="338"/>
  <c r="X31" i="338" a="1"/>
  <c r="X31" i="338"/>
  <c r="T42" i="338" a="1"/>
  <c r="T42" i="338"/>
  <c r="X14" i="338" a="1"/>
  <c r="X14" i="338"/>
  <c r="S34" i="338" a="1"/>
  <c r="S34" i="338"/>
  <c r="P12" i="338" a="1"/>
  <c r="P12" i="338"/>
  <c r="P29" i="338" a="1"/>
  <c r="P29" i="338"/>
  <c r="X45" i="338" a="1"/>
  <c r="X45" i="338"/>
  <c r="S31" i="338" a="1"/>
  <c r="S31" i="338"/>
  <c r="T9" i="338" a="1"/>
  <c r="T9" i="338"/>
  <c r="P14" i="338" a="1"/>
  <c r="P14" i="338"/>
  <c r="P48" i="338" a="1"/>
  <c r="P48" i="338"/>
  <c r="T47" i="338" a="1"/>
  <c r="T47" i="338"/>
  <c r="X48" i="338" a="1"/>
  <c r="X48" i="338"/>
  <c r="S42" i="338" a="1"/>
  <c r="S42" i="338"/>
  <c r="P47" i="338" a="1"/>
  <c r="P47" i="338"/>
  <c r="T12" i="338" a="1"/>
  <c r="T12" i="338"/>
  <c r="P9" i="338" a="1"/>
  <c r="P9" i="338"/>
  <c r="S48" i="338" a="1"/>
  <c r="S48" i="338"/>
  <c r="P31" i="338" a="1"/>
  <c r="P31" i="338"/>
  <c r="X12" i="338" a="1"/>
  <c r="X12" i="338"/>
  <c r="S47" i="338" a="1"/>
  <c r="S47" i="338"/>
  <c r="T29" i="338" a="1"/>
  <c r="T29" i="338"/>
  <c r="T34" i="338" a="1"/>
  <c r="T34" i="338"/>
  <c r="T31" i="338" a="1"/>
  <c r="T31" i="338"/>
  <c r="S12" i="338" a="1"/>
  <c r="S12" i="338"/>
  <c r="T45" i="338" a="1"/>
  <c r="T45" i="338"/>
  <c r="S14" i="338" a="1"/>
  <c r="S14" i="338"/>
  <c r="X29" i="338" a="1"/>
  <c r="X29" i="338"/>
  <c r="T48" i="338" a="1"/>
  <c r="T48" i="338"/>
  <c r="P42" i="338" a="1"/>
  <c r="P42" i="338"/>
  <c r="P45" i="338" a="1"/>
  <c r="P45" i="338"/>
  <c r="T14" i="338" a="1"/>
  <c r="T14" i="338"/>
  <c r="X47" i="338" a="1"/>
  <c r="X47" i="338"/>
  <c r="P34" i="338" a="1"/>
  <c r="P34" i="338"/>
  <c r="X9" i="338" a="1"/>
  <c r="X9" i="338"/>
  <c r="T26" i="89" a="1"/>
  <c r="T26" i="89"/>
  <c r="T233" i="89" a="1"/>
  <c r="T233" i="89"/>
  <c r="O55" i="89" a="1"/>
  <c r="O55" i="89"/>
  <c r="V213" i="89" a="1"/>
  <c r="V213" i="89"/>
  <c r="C180" i="89" a="1"/>
  <c r="C180" i="89"/>
  <c r="C26" i="89" a="1"/>
  <c r="C26" i="89"/>
  <c r="O235" i="89" a="1"/>
  <c r="O235" i="89"/>
  <c r="V180" i="89" a="1"/>
  <c r="V180" i="89"/>
  <c r="C211" i="89" a="1"/>
  <c r="C211" i="89"/>
  <c r="C55" i="89" a="1"/>
  <c r="C55" i="89"/>
  <c r="T211" i="89" a="1"/>
  <c r="T211" i="89"/>
  <c r="V33" i="89" a="1"/>
  <c r="V33" i="89"/>
  <c r="AA26" i="89" a="1"/>
  <c r="AA26" i="89"/>
  <c r="T180" i="89" a="1"/>
  <c r="T180" i="89"/>
  <c r="O225" i="89" a="1"/>
  <c r="O225" i="89"/>
  <c r="T55" i="89" a="1"/>
  <c r="T55" i="89"/>
  <c r="V211" i="89" a="1"/>
  <c r="V211" i="89"/>
  <c r="C213" i="89" a="1"/>
  <c r="C213" i="89"/>
  <c r="T213" i="89" a="1"/>
  <c r="T213" i="89"/>
  <c r="V235" i="89" a="1"/>
  <c r="V235" i="89"/>
  <c r="O180" i="89" a="1"/>
  <c r="O180" i="89"/>
  <c r="O211" i="89" a="1"/>
  <c r="O211" i="89"/>
  <c r="C225" i="89" a="1"/>
  <c r="C225" i="89"/>
  <c r="O75" i="89" a="1"/>
  <c r="O75" i="89"/>
  <c r="V225" i="89" a="1"/>
  <c r="V225" i="89"/>
  <c r="C75" i="89" a="1"/>
  <c r="C75" i="89"/>
  <c r="O213" i="89" a="1"/>
  <c r="O213" i="89"/>
  <c r="T225" i="89" a="1"/>
  <c r="T225" i="89"/>
  <c r="C233" i="89" a="1"/>
  <c r="C233" i="89"/>
  <c r="V75" i="89" a="1"/>
  <c r="V75" i="89"/>
  <c r="V55" i="89" a="1"/>
  <c r="V55" i="89"/>
  <c r="O233" i="89" a="1"/>
  <c r="O233" i="89"/>
  <c r="V233" i="89" a="1"/>
  <c r="V233" i="89"/>
  <c r="T75" i="89" a="1"/>
  <c r="T75" i="89"/>
  <c r="T235" i="89" a="1"/>
  <c r="T235" i="89"/>
  <c r="O26" i="89" a="1"/>
  <c r="O26" i="89"/>
  <c r="Z26" i="89" a="1"/>
  <c r="Z26" i="89" l="1"/>
  <c r="Z55" i="89" a="1"/>
  <c r="Z55" i="89"/>
  <c r="AA55" i="89" a="1"/>
  <c r="AA55" i="89"/>
  <c r="C235" i="89" a="1"/>
  <c r="C235" i="89"/>
  <c r="O33" i="89" a="1"/>
  <c r="O33" i="89"/>
  <c r="V26" i="89" a="1"/>
  <c r="V26" i="89"/>
  <c r="T33" i="89" a="1"/>
  <c r="T33" i="89"/>
  <c r="C33" i="89" a="1"/>
  <c r="C33" i="89"/>
  <c r="F39" i="446" a="1"/>
  <c r="F39" i="446"/>
  <c r="G32" i="446" a="1"/>
  <c r="G32" i="446"/>
  <c r="AH40" i="338" a="1"/>
  <c r="AH40" i="338"/>
  <c r="AH38" i="338" a="1"/>
  <c r="AH38" i="338"/>
  <c r="AH16" i="338" a="1"/>
  <c r="AH16" i="338"/>
  <c r="AJ40" i="338" a="1"/>
  <c r="AJ40" i="338"/>
  <c r="AJ38" i="338" a="1"/>
  <c r="AJ38" i="338"/>
  <c r="AJ16" i="338" a="1"/>
  <c r="AJ16" i="338"/>
  <c r="AK12" i="338" a="1"/>
  <c r="AK12" i="338"/>
  <c r="AI12" i="338" a="1"/>
  <c r="AI12" i="338"/>
  <c r="AJ12" i="338" a="1"/>
  <c r="AJ12" i="338"/>
  <c r="AH12" i="338" a="1"/>
  <c r="AH12" i="338"/>
  <c r="AG40" i="338"/>
  <c r="AF39" i="338"/>
  <c r="AF15" i="338"/>
  <c r="D39" i="446" a="1"/>
  <c r="D39" i="446"/>
  <c r="F32" i="446" a="1"/>
  <c r="F32" i="446"/>
  <c r="G33" i="446" a="1"/>
  <c r="G33" i="446"/>
  <c r="G34" i="446" a="1"/>
  <c r="G34" i="446"/>
  <c r="AJ30" i="338" a="1"/>
  <c r="AJ30" i="338"/>
  <c r="AJ29" i="338" a="1"/>
  <c r="AJ29" i="338"/>
  <c r="AH30" i="338" a="1"/>
  <c r="AH30" i="338"/>
  <c r="AH29" i="338" a="1"/>
  <c r="AH29" i="338"/>
  <c r="F33" i="446" a="1"/>
  <c r="F33" i="446"/>
  <c r="AI30" i="338" a="1"/>
  <c r="AI30" i="338"/>
  <c r="F34" i="446" a="1"/>
  <c r="F34" i="446"/>
  <c r="AF12" i="338"/>
  <c r="AG12" i="338"/>
  <c r="AK29" i="338" a="1"/>
  <c r="AK29" i="338"/>
  <c r="F41" i="446" a="1"/>
  <c r="F41" i="446"/>
  <c r="AK18" i="338" a="1"/>
  <c r="AK18" i="338"/>
  <c r="D32" i="446" a="1"/>
  <c r="D32" i="446"/>
  <c r="G41" i="446" a="1"/>
  <c r="G41" i="446"/>
  <c r="F42" i="446" a="1"/>
  <c r="F42" i="446"/>
  <c r="AK40" i="338" a="1"/>
  <c r="AK40" i="338"/>
  <c r="AJ39" i="338" a="1"/>
  <c r="AJ39" i="338"/>
  <c r="AJ15" i="338" a="1"/>
  <c r="AJ15" i="338"/>
  <c r="D40" i="446" a="1"/>
  <c r="D40" i="446"/>
  <c r="AK30" i="338" a="1"/>
  <c r="AK30" i="338"/>
  <c r="AF40" i="338"/>
  <c r="AF38" i="338"/>
  <c r="AF16" i="338"/>
  <c r="AI40" i="338" a="1"/>
  <c r="AI40" i="338"/>
  <c r="AH39" i="338" a="1"/>
  <c r="AH39" i="338"/>
  <c r="AH15" i="338" a="1"/>
  <c r="AH15" i="338"/>
  <c r="D33" i="446" a="1"/>
  <c r="D33" i="446"/>
  <c r="AF30" i="338"/>
  <c r="AF29" i="338"/>
  <c r="F38" i="446" a="1"/>
  <c r="F38" i="446"/>
  <c r="AG18" i="338"/>
  <c r="G39" i="446" a="1"/>
  <c r="G39" i="446"/>
  <c r="D42" i="446" a="1"/>
  <c r="D42" i="446"/>
  <c r="G42" i="446" a="1"/>
  <c r="G42" i="446"/>
  <c r="AG30" i="338"/>
  <c r="G38" i="446" a="1"/>
  <c r="G38" i="446"/>
  <c r="F40" i="446" a="1"/>
  <c r="F40" i="446"/>
  <c r="AI29" i="338" a="1"/>
  <c r="AI29" i="338"/>
  <c r="D34" i="446" a="1"/>
  <c r="D34" i="446"/>
  <c r="AG29" i="338"/>
  <c r="D38" i="446" a="1"/>
  <c r="D38" i="446"/>
  <c r="AI18" i="338" a="1"/>
  <c r="AI18" i="338"/>
  <c r="G40" i="446" a="1"/>
  <c r="G40" i="446"/>
  <c r="D41" i="446" a="1"/>
  <c r="D41" i="446"/>
  <c r="F10" i="446" a="1"/>
  <c r="F10" i="446"/>
  <c r="G13" i="446" a="1"/>
  <c r="G13" i="446"/>
  <c r="F12" i="446" a="1"/>
  <c r="F12" i="446"/>
  <c r="F13" i="446" a="1"/>
  <c r="F13" i="446"/>
  <c r="G11" i="446" a="1"/>
  <c r="G11" i="446"/>
  <c r="G25" i="446" a="1"/>
  <c r="G25" i="446"/>
  <c r="G10" i="446" a="1"/>
  <c r="G10" i="446"/>
  <c r="G8" i="446" a="1"/>
  <c r="G8" i="446"/>
  <c r="G7" i="446" a="1"/>
  <c r="G7" i="446"/>
  <c r="F7" i="446" a="1"/>
  <c r="F7" i="446"/>
  <c r="G12" i="446" a="1"/>
  <c r="G12" i="446"/>
  <c r="F8" i="446" a="1"/>
  <c r="F8" i="446"/>
  <c r="F20" i="446" a="1"/>
  <c r="F20" i="446"/>
  <c r="F25" i="446" a="1"/>
  <c r="F25" i="446"/>
  <c r="F11" i="446" a="1"/>
  <c r="F11" i="446"/>
  <c r="G20" i="446" a="1"/>
  <c r="G20" i="446"/>
  <c r="AH32" i="338" a="1"/>
  <c r="AH32" i="338"/>
  <c r="AH31" i="338" a="1"/>
  <c r="AH31" i="338"/>
  <c r="AJ42" i="338" a="1"/>
  <c r="AJ42" i="338"/>
  <c r="AJ41" i="338" a="1"/>
  <c r="AJ41" i="338"/>
  <c r="AH42" i="338" a="1"/>
  <c r="AH42" i="338"/>
  <c r="AH41" i="338" a="1"/>
  <c r="AH41" i="338"/>
  <c r="AG42" i="338"/>
  <c r="AI42" i="338" a="1"/>
  <c r="AI42" i="338"/>
  <c r="AJ32" i="338" a="1"/>
  <c r="AJ32" i="338"/>
  <c r="AJ31" i="338" a="1"/>
  <c r="AJ31" i="338"/>
  <c r="AK42" i="338" a="1"/>
  <c r="AK42" i="338"/>
  <c r="AF32" i="338"/>
  <c r="AF31" i="338"/>
  <c r="AF42" i="338"/>
  <c r="AF41" i="338"/>
  <c r="F11" i="252" a="1"/>
  <c r="F11" i="252"/>
  <c r="P17" i="252" a="1"/>
  <c r="P17" i="252"/>
  <c r="F20" i="252" a="1"/>
  <c r="F20" i="252"/>
  <c r="F19" i="252" a="1"/>
  <c r="F19" i="252"/>
  <c r="N19" i="252" a="1"/>
  <c r="N19" i="252"/>
  <c r="F14" i="252" a="1"/>
  <c r="F14" i="252"/>
  <c r="P19" i="252" a="1"/>
  <c r="P19" i="252"/>
  <c r="M17" i="252" a="1"/>
  <c r="M17" i="252"/>
  <c r="S20" i="252" a="1"/>
  <c r="S20" i="252"/>
  <c r="S19" i="252" a="1"/>
  <c r="S19" i="252"/>
  <c r="M11" i="252" a="1"/>
  <c r="M11" i="252"/>
  <c r="P18" i="252" a="1"/>
  <c r="P18" i="252"/>
  <c r="S10" i="252" a="1"/>
  <c r="S10" i="252"/>
  <c r="L14" i="252" a="1"/>
  <c r="L14" i="252"/>
  <c r="F7" i="252" a="1"/>
  <c r="F7" i="252"/>
  <c r="P8" i="252" a="1"/>
  <c r="P8" i="252"/>
  <c r="O8" i="252" a="1"/>
  <c r="O8" i="252"/>
  <c r="P7" i="252" a="1"/>
  <c r="P7" i="252"/>
  <c r="L16" i="252" a="1"/>
  <c r="L16" i="252"/>
  <c r="P20" i="252" a="1"/>
  <c r="P20" i="252"/>
  <c r="N17" i="252" a="1"/>
  <c r="N17" i="252"/>
  <c r="F10" i="252" a="1"/>
  <c r="F10" i="252"/>
  <c r="S18" i="252" a="1"/>
  <c r="S18" i="252"/>
  <c r="N8" i="252" a="1"/>
  <c r="N8" i="252"/>
  <c r="S14" i="252" a="1"/>
  <c r="S14" i="252"/>
  <c r="L10" i="252" a="1"/>
  <c r="L10" i="252"/>
  <c r="M16" i="252" a="1"/>
  <c r="M16" i="252"/>
  <c r="O19" i="252" a="1"/>
  <c r="O19" i="252"/>
  <c r="L7" i="252" a="1"/>
  <c r="L7" i="252"/>
  <c r="M10" i="252" a="1"/>
  <c r="M10" i="252"/>
  <c r="P11" i="252" a="1"/>
  <c r="P11" i="252"/>
  <c r="N18" i="252" a="1"/>
  <c r="N18" i="252"/>
  <c r="F17" i="252" a="1"/>
  <c r="F17" i="252"/>
  <c r="O16" i="252" a="1"/>
  <c r="O16" i="252"/>
  <c r="S8" i="252" a="1"/>
  <c r="S8" i="252"/>
  <c r="S11" i="252" a="1"/>
  <c r="S11" i="252"/>
  <c r="L17" i="252" a="1"/>
  <c r="L17" i="252"/>
  <c r="L8" i="252" a="1"/>
  <c r="L8" i="252"/>
  <c r="M18" i="252" a="1"/>
  <c r="M18" i="252"/>
  <c r="S16" i="252" a="1"/>
  <c r="S16" i="252"/>
  <c r="L11" i="252" a="1"/>
  <c r="L11" i="252"/>
  <c r="O14" i="252" a="1"/>
  <c r="O14" i="252"/>
  <c r="N14" i="252" a="1"/>
  <c r="N14" i="252"/>
  <c r="O17" i="252" a="1"/>
  <c r="O17" i="252"/>
  <c r="M20" i="252" a="1"/>
  <c r="M20" i="252"/>
  <c r="N20" i="252" a="1"/>
  <c r="N20" i="252"/>
  <c r="N10" i="252" a="1"/>
  <c r="N10" i="252"/>
  <c r="N7" i="252" a="1"/>
  <c r="N7" i="252"/>
  <c r="M19" i="252" a="1"/>
  <c r="M19" i="252"/>
  <c r="F16" i="252" a="1"/>
  <c r="F16" i="252"/>
  <c r="O20" i="252" a="1"/>
  <c r="O20" i="252"/>
  <c r="O11" i="252" a="1"/>
  <c r="O11" i="252"/>
  <c r="N16" i="252" a="1"/>
  <c r="N16" i="252"/>
  <c r="P10" i="252" a="1"/>
  <c r="P10" i="252"/>
  <c r="N11" i="252" a="1"/>
  <c r="N11" i="252"/>
  <c r="M14" i="252" a="1"/>
  <c r="M14" i="252"/>
  <c r="L19" i="252" a="1"/>
  <c r="L19" i="252"/>
  <c r="O10" i="252" a="1"/>
  <c r="O10" i="252"/>
  <c r="P14" i="252" a="1"/>
  <c r="P14" i="252"/>
  <c r="M8" i="252" a="1"/>
  <c r="M8" i="252"/>
  <c r="M7" i="252" a="1"/>
  <c r="M7" i="252"/>
  <c r="L20" i="252" a="1"/>
  <c r="L20" i="252"/>
  <c r="L18" i="252" a="1"/>
  <c r="L18" i="252"/>
  <c r="O7" i="252" a="1"/>
  <c r="O7" i="252"/>
  <c r="S7" i="252" a="1"/>
  <c r="S7" i="252"/>
  <c r="P16" i="252" a="1"/>
  <c r="P16" i="252"/>
  <c r="F8" i="252" a="1"/>
  <c r="F8" i="252"/>
  <c r="F18" i="252" a="1"/>
  <c r="F18" i="252"/>
  <c r="O18" i="252" a="1"/>
  <c r="O18" i="252"/>
  <c r="S17" i="252" a="1"/>
  <c r="S17" i="252"/>
  <c r="E211" i="89" a="1"/>
  <c r="E211" i="89"/>
  <c r="E187" i="89" a="1"/>
  <c r="E187" i="89"/>
  <c r="E237" i="89" a="1"/>
  <c r="E237" i="89"/>
  <c r="E212" i="89" a="1"/>
  <c r="E212" i="89"/>
  <c r="V50" i="89" a="1"/>
  <c r="V50" i="89"/>
  <c r="T20" i="89" a="1"/>
  <c r="T20" i="89"/>
  <c r="V237" i="89" a="1"/>
  <c r="V237" i="89"/>
  <c r="O39" i="89" a="1"/>
  <c r="O39" i="89"/>
  <c r="T170" i="89" a="1"/>
  <c r="T170" i="89"/>
  <c r="T222" i="89" a="1"/>
  <c r="T222" i="89"/>
  <c r="O222" i="89" a="1"/>
  <c r="O222" i="89"/>
  <c r="V187" i="89" a="1"/>
  <c r="V187" i="89"/>
  <c r="C169" i="89" a="1"/>
  <c r="C169" i="89"/>
  <c r="T39" i="89" a="1"/>
  <c r="T39" i="89"/>
  <c r="T169" i="89" a="1"/>
  <c r="T169" i="89"/>
  <c r="O169" i="89" a="1"/>
  <c r="O169" i="89"/>
  <c r="V188" i="89" a="1"/>
  <c r="V188" i="89"/>
  <c r="O188" i="89" a="1"/>
  <c r="O188" i="89"/>
  <c r="T188" i="89" a="1"/>
  <c r="T188" i="89"/>
  <c r="C170" i="89" a="1"/>
  <c r="C170" i="89"/>
  <c r="V222" i="89" a="1"/>
  <c r="V222" i="89"/>
  <c r="V20" i="89" a="1"/>
  <c r="V20" i="89"/>
  <c r="C20" i="89" a="1"/>
  <c r="C20" i="89"/>
  <c r="T50" i="89" a="1"/>
  <c r="T50" i="89"/>
  <c r="O20" i="89" a="1"/>
  <c r="O20" i="89"/>
  <c r="C186" i="89" a="1"/>
  <c r="C186" i="89"/>
  <c r="T237" i="89" a="1"/>
  <c r="T237" i="89"/>
  <c r="C188" i="89" a="1"/>
  <c r="C188" i="89"/>
  <c r="T187" i="89" a="1"/>
  <c r="T187" i="89"/>
  <c r="O186" i="89" a="1"/>
  <c r="O186" i="89"/>
  <c r="V39" i="89" a="1"/>
  <c r="V39" i="89"/>
  <c r="V186" i="89" a="1"/>
  <c r="V186" i="89"/>
  <c r="C50" i="89" a="1"/>
  <c r="C50" i="89"/>
  <c r="T186" i="89" a="1"/>
  <c r="T186" i="89"/>
  <c r="V169" i="89" a="1"/>
  <c r="V169" i="89"/>
  <c r="C39" i="89" a="1"/>
  <c r="C39" i="89"/>
  <c r="O187" i="89" a="1"/>
  <c r="O187" i="89"/>
  <c r="V170" i="89" a="1"/>
  <c r="V170" i="89"/>
  <c r="O170" i="89" a="1"/>
  <c r="O170" i="89"/>
  <c r="C237" i="89" a="1"/>
  <c r="C237" i="89"/>
  <c r="C222" i="89" a="1"/>
  <c r="C222" i="89"/>
  <c r="O50" i="89" a="1"/>
  <c r="O50" i="89"/>
  <c r="C187" i="89" a="1"/>
  <c r="C187" i="89"/>
  <c r="O237" i="89" a="1"/>
  <c r="O237" i="89"/>
  <c r="M13" i="252" a="1"/>
  <c r="M13" i="252"/>
  <c r="F13" i="252" a="1"/>
  <c r="F13" i="252"/>
  <c r="L13" i="252" a="1"/>
  <c r="L13" i="252"/>
  <c r="O13" i="252" a="1"/>
  <c r="O13" i="252"/>
  <c r="N13" i="252" a="1"/>
  <c r="N13" i="252"/>
  <c r="E6" i="2" a="1"/>
  <c r="E6" i="2"/>
  <c r="C6" i="2" a="1"/>
  <c r="C6" i="2"/>
  <c r="F6" i="2" a="1"/>
  <c r="F6" i="2"/>
  <c r="AD7" i="2" a="1"/>
  <c r="AD7" i="2"/>
  <c r="V82" i="89" a="1"/>
  <c r="V82" i="89"/>
  <c r="E13" i="2" a="1"/>
  <c r="E13" i="2"/>
  <c r="E12" i="2" a="1"/>
  <c r="E12" i="2"/>
  <c r="C7" i="2" a="1"/>
  <c r="C7" i="2"/>
  <c r="AA27" i="2" a="1"/>
  <c r="AA27" i="2"/>
  <c r="AA26" i="2" a="1"/>
  <c r="AA26" i="2"/>
  <c r="T197" i="89" a="1"/>
  <c r="T197" i="89"/>
  <c r="T6" i="2" a="1"/>
  <c r="T6" i="2"/>
  <c r="O81" i="89" a="1"/>
  <c r="O81" i="89"/>
  <c r="AA16" i="2" a="1"/>
  <c r="AA16" i="2"/>
  <c r="T62" i="89" a="1"/>
  <c r="T62" i="89"/>
  <c r="AR25" i="2" a="1"/>
  <c r="AR25" i="2"/>
  <c r="AR11" i="2" a="1"/>
  <c r="AR11" i="2"/>
  <c r="D6" i="2" a="1"/>
  <c r="D6" i="2"/>
  <c r="C81" i="89" a="1"/>
  <c r="C81" i="89"/>
  <c r="C25" i="2" a="1"/>
  <c r="C25" i="2"/>
  <c r="AA13" i="2" a="1"/>
  <c r="AA13" i="2"/>
  <c r="AA12" i="2" a="1"/>
  <c r="AA12" i="2"/>
  <c r="T13" i="89" a="1"/>
  <c r="T13" i="89"/>
  <c r="C24" i="2" a="1"/>
  <c r="C24" i="2"/>
  <c r="E7" i="2" a="1"/>
  <c r="E7" i="2"/>
  <c r="D82" i="89" a="1"/>
  <c r="D82" i="89"/>
  <c r="T16" i="2" a="1"/>
  <c r="T16" i="2"/>
  <c r="O62" i="89" a="1"/>
  <c r="O62" i="89"/>
  <c r="F27" i="2" a="1"/>
  <c r="F27" i="2"/>
  <c r="F26" i="2" a="1"/>
  <c r="F26" i="2"/>
  <c r="AA24" i="2" a="1"/>
  <c r="AA24" i="2"/>
  <c r="T195" i="89" a="1"/>
  <c r="T195" i="89"/>
  <c r="D25" i="2" a="1"/>
  <c r="D25" i="2"/>
  <c r="C196" i="89" a="1"/>
  <c r="C196" i="89"/>
  <c r="AA18" i="2" a="1"/>
  <c r="AA18" i="2"/>
  <c r="AA17" i="2" a="1"/>
  <c r="AA17" i="2"/>
  <c r="T63" i="89" a="1"/>
  <c r="T63" i="89"/>
  <c r="AR7" i="2" a="1"/>
  <c r="AR7" i="2"/>
  <c r="AD16" i="2" a="1"/>
  <c r="AD16" i="2"/>
  <c r="V62" i="89" a="1"/>
  <c r="V62" i="89"/>
  <c r="AA7" i="2" a="1"/>
  <c r="AA7" i="2"/>
  <c r="T82" i="89" a="1"/>
  <c r="T82" i="89"/>
  <c r="C16" i="2" a="1"/>
  <c r="C16" i="2"/>
  <c r="AR16" i="2" a="1"/>
  <c r="AR16" i="2"/>
  <c r="F5" i="2" a="1"/>
  <c r="F5" i="2"/>
  <c r="D18" i="2" a="1"/>
  <c r="D18" i="2"/>
  <c r="D17" i="2" a="1"/>
  <c r="D17" i="2"/>
  <c r="C63" i="89" a="1"/>
  <c r="C63" i="89"/>
  <c r="C27" i="2" a="1"/>
  <c r="C27" i="2"/>
  <c r="C26" i="2" a="1"/>
  <c r="C26" i="2"/>
  <c r="F11" i="2" a="1"/>
  <c r="F11" i="2"/>
  <c r="D7" i="2" a="1"/>
  <c r="D7" i="2"/>
  <c r="C82" i="89" a="1"/>
  <c r="C82" i="89"/>
  <c r="E24" i="2" a="1"/>
  <c r="E24" i="2"/>
  <c r="F7" i="2" a="1"/>
  <c r="F7" i="2"/>
  <c r="E82" i="89" a="1"/>
  <c r="E82" i="89"/>
  <c r="AD24" i="2" a="1"/>
  <c r="AD24" i="2"/>
  <c r="V195" i="89" a="1"/>
  <c r="V195" i="89"/>
  <c r="AR27" i="2" a="1"/>
  <c r="AR27" i="2"/>
  <c r="AR26" i="2" a="1"/>
  <c r="AR26" i="2"/>
  <c r="AA6" i="2" a="1"/>
  <c r="AA6" i="2"/>
  <c r="T81" i="89" a="1"/>
  <c r="T81" i="89"/>
  <c r="E5" i="2" a="1"/>
  <c r="E5" i="2"/>
  <c r="T5" i="2" a="1"/>
  <c r="T5" i="2"/>
  <c r="O223" i="89" a="1"/>
  <c r="O223" i="89"/>
  <c r="F18" i="2" a="1"/>
  <c r="F18" i="2"/>
  <c r="F17" i="2" a="1"/>
  <c r="F17" i="2"/>
  <c r="E16" i="2" a="1"/>
  <c r="E16" i="2"/>
  <c r="AD13" i="2" a="1"/>
  <c r="AD13" i="2"/>
  <c r="AD12" i="2" a="1"/>
  <c r="AD12" i="2"/>
  <c r="V13" i="89" a="1"/>
  <c r="V13" i="89"/>
  <c r="AA25" i="2" a="1"/>
  <c r="AA25" i="2"/>
  <c r="T196" i="89" a="1"/>
  <c r="T196" i="89"/>
  <c r="E18" i="2" a="1"/>
  <c r="E18" i="2"/>
  <c r="E17" i="2" a="1"/>
  <c r="E17" i="2"/>
  <c r="F16" i="2" a="1"/>
  <c r="F16" i="2"/>
  <c r="AD27" i="2" a="1"/>
  <c r="AD27" i="2"/>
  <c r="AD26" i="2" a="1"/>
  <c r="AD26" i="2"/>
  <c r="V197" i="89" a="1"/>
  <c r="V197" i="89"/>
  <c r="AA11" i="2" a="1"/>
  <c r="AA11" i="2"/>
  <c r="T205" i="89" a="1"/>
  <c r="T205" i="89"/>
  <c r="D24" i="2" a="1"/>
  <c r="D24" i="2"/>
  <c r="C195" i="89" a="1"/>
  <c r="C195" i="89"/>
  <c r="AD5" i="2" a="1"/>
  <c r="AD5" i="2"/>
  <c r="V223" i="89" a="1"/>
  <c r="V223" i="89"/>
  <c r="E25" i="2" a="1"/>
  <c r="E25" i="2"/>
  <c r="T13" i="2" a="1"/>
  <c r="T13" i="2"/>
  <c r="T12" i="2" a="1"/>
  <c r="T12" i="2"/>
  <c r="O13" i="89" a="1"/>
  <c r="O13" i="89"/>
  <c r="C13" i="2" a="1"/>
  <c r="C13" i="2"/>
  <c r="C12" i="2" a="1"/>
  <c r="C12" i="2"/>
  <c r="AA5" i="2" a="1"/>
  <c r="AA5" i="2"/>
  <c r="T223" i="89" a="1"/>
  <c r="T223" i="89"/>
  <c r="AR5" i="2" a="1"/>
  <c r="AR5" i="2"/>
  <c r="AD11" i="2" a="1"/>
  <c r="AD11" i="2"/>
  <c r="V205" i="89" a="1"/>
  <c r="V205" i="89"/>
  <c r="D16" i="2" a="1"/>
  <c r="D16" i="2"/>
  <c r="C62" i="89" a="1"/>
  <c r="C62" i="89"/>
  <c r="F24" i="2" a="1"/>
  <c r="F24" i="2"/>
  <c r="AD18" i="2" a="1"/>
  <c r="AD18" i="2"/>
  <c r="AD17" i="2" a="1"/>
  <c r="AD17" i="2"/>
  <c r="V63" i="89" a="1"/>
  <c r="V63" i="89"/>
  <c r="D5" i="2" a="1"/>
  <c r="D5" i="2"/>
  <c r="C223" i="89" a="1"/>
  <c r="C223" i="89"/>
  <c r="T27" i="2" a="1"/>
  <c r="T27" i="2"/>
  <c r="T26" i="2" a="1"/>
  <c r="T26" i="2"/>
  <c r="O197" i="89" a="1"/>
  <c r="O197" i="89"/>
  <c r="AD6" i="2" a="1"/>
  <c r="AD6" i="2"/>
  <c r="V81" i="89" a="1"/>
  <c r="V81" i="89"/>
  <c r="D13" i="2" a="1"/>
  <c r="D13" i="2"/>
  <c r="D12" i="2" a="1"/>
  <c r="D12" i="2"/>
  <c r="C13" i="89" a="1"/>
  <c r="C13" i="89"/>
  <c r="AR18" i="2" a="1"/>
  <c r="AR18" i="2"/>
  <c r="AR17" i="2" a="1"/>
  <c r="AR17" i="2"/>
  <c r="AR13" i="2" a="1"/>
  <c r="AR13" i="2"/>
  <c r="AR12" i="2" a="1"/>
  <c r="AR12" i="2"/>
  <c r="AR24" i="2" a="1"/>
  <c r="AR24" i="2"/>
  <c r="E27" i="2" a="1"/>
  <c r="E27" i="2"/>
  <c r="E26" i="2" a="1"/>
  <c r="E26" i="2"/>
  <c r="T25" i="2" a="1"/>
  <c r="T25" i="2"/>
  <c r="O196" i="89" a="1"/>
  <c r="O196" i="89"/>
  <c r="E11" i="2" a="1"/>
  <c r="E11" i="2"/>
  <c r="T11" i="2" a="1"/>
  <c r="T11" i="2"/>
  <c r="O205" i="89" a="1"/>
  <c r="O205" i="89"/>
  <c r="C5" i="2" a="1"/>
  <c r="C5" i="2"/>
  <c r="D11" i="2" a="1"/>
  <c r="D11" i="2"/>
  <c r="C205" i="89" a="1"/>
  <c r="C205" i="89"/>
  <c r="F25" i="2" a="1"/>
  <c r="F25" i="2"/>
  <c r="F13" i="2" a="1"/>
  <c r="F13" i="2"/>
  <c r="F12" i="2" a="1"/>
  <c r="F12" i="2"/>
  <c r="AR6" i="2" a="1"/>
  <c r="AR6" i="2"/>
  <c r="T24" i="2" a="1"/>
  <c r="T24" i="2"/>
  <c r="O195" i="89" a="1"/>
  <c r="O195" i="89"/>
  <c r="C18" i="2" a="1"/>
  <c r="C18" i="2"/>
  <c r="C17" i="2" a="1"/>
  <c r="C17" i="2"/>
  <c r="AD25" i="2" a="1"/>
  <c r="AD25" i="2"/>
  <c r="V196" i="89" a="1"/>
  <c r="V196" i="89"/>
  <c r="T18" i="2" a="1"/>
  <c r="T18" i="2"/>
  <c r="T17" i="2" a="1"/>
  <c r="T17" i="2"/>
  <c r="O63" i="89" a="1"/>
  <c r="O63" i="89"/>
  <c r="T7" i="2" a="1"/>
  <c r="T7" i="2"/>
  <c r="O82" i="89" a="1"/>
  <c r="O82" i="89"/>
  <c r="D27" i="2" a="1"/>
  <c r="D27" i="2"/>
  <c r="D26" i="2" a="1"/>
  <c r="D26" i="2"/>
  <c r="C197" i="89" a="1"/>
  <c r="C197" i="89"/>
  <c r="C11" i="2" a="1"/>
  <c r="C11" i="2"/>
  <c r="AH9" i="338" a="1"/>
  <c r="AH9" i="338"/>
  <c r="AH8" i="338" a="1"/>
  <c r="AH8" i="338"/>
  <c r="AG9" i="338"/>
  <c r="AF62" i="1"/>
  <c r="AK9" i="338" a="1"/>
  <c r="AK9" i="338"/>
  <c r="AJ9" i="338" a="1"/>
  <c r="AJ9" i="338"/>
  <c r="AJ8" i="338" a="1"/>
  <c r="AJ8" i="338"/>
  <c r="AK52" i="338" a="1"/>
  <c r="AK52" i="338"/>
  <c r="AK44" i="338" a="1"/>
  <c r="AK44" i="338"/>
  <c r="AK39" i="338" a="1"/>
  <c r="AK39" i="338"/>
  <c r="AK38" i="338" a="1"/>
  <c r="AK38" i="338"/>
  <c r="AK17" i="338" a="1"/>
  <c r="AK17" i="338"/>
  <c r="AK16" i="338" a="1"/>
  <c r="AK16" i="338"/>
  <c r="AK15" i="338" a="1"/>
  <c r="AK15" i="338"/>
  <c r="AI52" i="338" a="1"/>
  <c r="AI52" i="338"/>
  <c r="AI44" i="338" a="1"/>
  <c r="AI44" i="338"/>
  <c r="AI39" i="338" a="1"/>
  <c r="AI39" i="338"/>
  <c r="AI38" i="338" a="1"/>
  <c r="AI38" i="338"/>
  <c r="AI17" i="338" a="1"/>
  <c r="AI17" i="338"/>
  <c r="AI16" i="338" a="1"/>
  <c r="AI16" i="338"/>
  <c r="AI15" i="338" a="1"/>
  <c r="AI15" i="338"/>
  <c r="G27" i="446" a="1"/>
  <c r="G27" i="446"/>
  <c r="AK51" i="338" a="1"/>
  <c r="AK51" i="338"/>
  <c r="AK47" i="338" a="1"/>
  <c r="AK47" i="338"/>
  <c r="AK41" i="338" a="1"/>
  <c r="AK41" i="338"/>
  <c r="AK33" i="338" a="1"/>
  <c r="AK33" i="338"/>
  <c r="AK31" i="338" a="1"/>
  <c r="AK31" i="338"/>
  <c r="AJ49" i="338" a="1"/>
  <c r="AJ49" i="338"/>
  <c r="AJ46" i="338" a="1"/>
  <c r="AJ46" i="338"/>
  <c r="AJ45" i="338" a="1"/>
  <c r="AJ45" i="338"/>
  <c r="AB23" i="1"/>
  <c r="AB22" i="1"/>
  <c r="AB21" i="1"/>
  <c r="F23" i="446" a="1"/>
  <c r="F23" i="446"/>
  <c r="AB26" i="1"/>
  <c r="AB25" i="1"/>
  <c r="F27" i="446" a="1"/>
  <c r="F27" i="446"/>
  <c r="AF33" i="338"/>
  <c r="AF11" i="338"/>
  <c r="AF10" i="338"/>
  <c r="AF30" i="1"/>
  <c r="AF29" i="1"/>
  <c r="AK11" i="338" a="1"/>
  <c r="AK11" i="338"/>
  <c r="AI11" i="338" a="1"/>
  <c r="AI11" i="338"/>
  <c r="AH33" i="338" a="1"/>
  <c r="AH33" i="338"/>
  <c r="AH11" i="338" a="1"/>
  <c r="AH11" i="338"/>
  <c r="AH10" i="338" a="1"/>
  <c r="AH10" i="338"/>
  <c r="AH18" i="338" a="1"/>
  <c r="AH18" i="338"/>
  <c r="AH17" i="338" a="1"/>
  <c r="AH17" i="338"/>
  <c r="G19" i="446" a="1"/>
  <c r="G19" i="446"/>
  <c r="AI51" i="338" a="1"/>
  <c r="AI51" i="338"/>
  <c r="AI47" i="338" a="1"/>
  <c r="AI47" i="338"/>
  <c r="AI41" i="338" a="1"/>
  <c r="AI41" i="338"/>
  <c r="AI33" i="338" a="1"/>
  <c r="AI33" i="338"/>
  <c r="AI31" i="338" a="1"/>
  <c r="AI31" i="338"/>
  <c r="AH49" i="338" a="1"/>
  <c r="AH49" i="338"/>
  <c r="AH46" i="338" a="1"/>
  <c r="AH46" i="338"/>
  <c r="AH45" i="338" a="1"/>
  <c r="AH45" i="338"/>
  <c r="AF18" i="338"/>
  <c r="AF17" i="338"/>
  <c r="AF59" i="1"/>
  <c r="AF58" i="1"/>
  <c r="AF54" i="338"/>
  <c r="AF53" i="338"/>
  <c r="AF52" i="338"/>
  <c r="AF60" i="1"/>
  <c r="AC50" i="1" a="1"/>
  <c r="AC50" i="1"/>
  <c r="AC49" i="1" a="1"/>
  <c r="AC49" i="1"/>
  <c r="D35" i="446" a="1"/>
  <c r="D35" i="446"/>
  <c r="AB60" i="1"/>
  <c r="F15" i="446" a="1"/>
  <c r="F15" i="446"/>
  <c r="AC26" i="1" a="1"/>
  <c r="AC26" i="1"/>
  <c r="AC25" i="1" a="1"/>
  <c r="AC25" i="1"/>
  <c r="D27" i="446" a="1"/>
  <c r="D27" i="446"/>
  <c r="AB20" i="1"/>
  <c r="AB19" i="1"/>
  <c r="F21" i="446" a="1"/>
  <c r="F21" i="446"/>
  <c r="AI8" i="338" a="1"/>
  <c r="AI8" i="338"/>
  <c r="AI50" i="338" a="1"/>
  <c r="AI50" i="338"/>
  <c r="AI46" i="338" a="1"/>
  <c r="AI46" i="338"/>
  <c r="AI32" i="338" a="1"/>
  <c r="AI32" i="338"/>
  <c r="G26" i="446" a="1"/>
  <c r="G26" i="446"/>
  <c r="AJ18" i="338" a="1"/>
  <c r="AJ18" i="338"/>
  <c r="AJ17" i="338" a="1"/>
  <c r="AJ17" i="338"/>
  <c r="AI9" i="338" a="1"/>
  <c r="AI9" i="338"/>
  <c r="AB62" i="1"/>
  <c r="F19" i="446" a="1"/>
  <c r="F19" i="446"/>
  <c r="AB59" i="1"/>
  <c r="AB58" i="1"/>
  <c r="F14" i="446" a="1"/>
  <c r="F14" i="446"/>
  <c r="AC30" i="1" a="1"/>
  <c r="AC30" i="1"/>
  <c r="AC29" i="1" a="1"/>
  <c r="AC29" i="1"/>
  <c r="D26" i="446" a="1"/>
  <c r="D26" i="446"/>
  <c r="G15" i="446" a="1"/>
  <c r="G15" i="446"/>
  <c r="AB30" i="1"/>
  <c r="AB29" i="1"/>
  <c r="F26" i="446" a="1"/>
  <c r="F26" i="446"/>
  <c r="G23" i="446" a="1"/>
  <c r="G23" i="446"/>
  <c r="AJ54" i="338" a="1"/>
  <c r="AJ54" i="338"/>
  <c r="AJ53" i="338" a="1"/>
  <c r="AJ53" i="338"/>
  <c r="AJ52" i="338" a="1"/>
  <c r="AJ52" i="338"/>
  <c r="AH54" i="338" a="1"/>
  <c r="AH54" i="338"/>
  <c r="AH53" i="338" a="1"/>
  <c r="AH53" i="338"/>
  <c r="AH52" i="338" a="1"/>
  <c r="AH52" i="338"/>
  <c r="AK8" i="338" a="1"/>
  <c r="AK8" i="338"/>
  <c r="AK50" i="338" a="1"/>
  <c r="AK50" i="338"/>
  <c r="AK46" i="338" a="1"/>
  <c r="AK46" i="338"/>
  <c r="AK32" i="338" a="1"/>
  <c r="AK32" i="338"/>
  <c r="AC32" i="1" a="1"/>
  <c r="AC32" i="1"/>
  <c r="AC31" i="1" a="1"/>
  <c r="AC31" i="1"/>
  <c r="D30" i="446" a="1"/>
  <c r="D30" i="446"/>
  <c r="AF34" i="338"/>
  <c r="AF13" i="338"/>
  <c r="AF50" i="1"/>
  <c r="AF49" i="1"/>
  <c r="G30" i="446" a="1"/>
  <c r="G30" i="446"/>
  <c r="AJ34" i="338" a="1"/>
  <c r="AJ34" i="338"/>
  <c r="AJ13" i="338" a="1"/>
  <c r="AJ13" i="338"/>
  <c r="AG51" i="338"/>
  <c r="AG47" i="338"/>
  <c r="AG41" i="338"/>
  <c r="AG33" i="338"/>
  <c r="AG31" i="338"/>
  <c r="AF49" i="338"/>
  <c r="AF46" i="338"/>
  <c r="AF45" i="338"/>
  <c r="AF23" i="1"/>
  <c r="AF22" i="1"/>
  <c r="AF21" i="1"/>
  <c r="AF9" i="338"/>
  <c r="AF8" i="338"/>
  <c r="AF32" i="1"/>
  <c r="AF31" i="1"/>
  <c r="AG8" i="338"/>
  <c r="AG50" i="338"/>
  <c r="AG46" i="338"/>
  <c r="AG32" i="338"/>
  <c r="AF34" i="1"/>
  <c r="AF33" i="1"/>
  <c r="AJ33" i="338" a="1"/>
  <c r="AJ33" i="338"/>
  <c r="AJ11" i="338" a="1"/>
  <c r="AJ11" i="338"/>
  <c r="AJ10" i="338" a="1"/>
  <c r="AJ10" i="338"/>
  <c r="AB32" i="1"/>
  <c r="AB31" i="1"/>
  <c r="F30" i="446" a="1"/>
  <c r="F30" i="446"/>
  <c r="G35" i="446" a="1"/>
  <c r="G35" i="446"/>
  <c r="G21" i="446" a="1"/>
  <c r="G21" i="446"/>
  <c r="AH34" i="338" a="1"/>
  <c r="AH34" i="338"/>
  <c r="AH13" i="338" a="1"/>
  <c r="AH13" i="338"/>
  <c r="AB50" i="1"/>
  <c r="AB49" i="1"/>
  <c r="F35" i="446" a="1"/>
  <c r="F35" i="446"/>
  <c r="AG52" i="338"/>
  <c r="AG44" i="338"/>
  <c r="AG39" i="338"/>
  <c r="AG38" i="338"/>
  <c r="AG17" i="338"/>
  <c r="AG16" i="338"/>
  <c r="AG15" i="338"/>
  <c r="AF20" i="1"/>
  <c r="AF19" i="1"/>
  <c r="G14" i="446" a="1"/>
  <c r="G14" i="446"/>
  <c r="G9" i="446" a="1"/>
  <c r="G9" i="446"/>
  <c r="AB34" i="1"/>
  <c r="AB33" i="1"/>
  <c r="F9" i="446" a="1"/>
  <c r="F9" i="446"/>
  <c r="AG11" i="338"/>
  <c r="AF26" i="1"/>
  <c r="AF25" i="1"/>
  <c r="AK13" i="338" a="1"/>
  <c r="AK13" i="338"/>
  <c r="AG54" i="338"/>
  <c r="F16" i="446" a="1"/>
  <c r="F16" i="446"/>
  <c r="AI54" i="338" a="1"/>
  <c r="AI54" i="338"/>
  <c r="F17" i="446" a="1"/>
  <c r="F17" i="446"/>
  <c r="AG13" i="338"/>
  <c r="AI13" i="338" a="1"/>
  <c r="AI13" i="338"/>
  <c r="AK54" i="338" a="1"/>
  <c r="AK54" i="338"/>
  <c r="G16" i="446" a="1"/>
  <c r="G16" i="446"/>
  <c r="G17" i="446" a="1"/>
  <c r="G17" i="446"/>
  <c r="M15" i="252" a="1"/>
  <c r="M15" i="252"/>
  <c r="M9" i="252" a="1"/>
  <c r="M9" i="252"/>
  <c r="O12" i="252" a="1"/>
  <c r="O12" i="252"/>
  <c r="O15" i="252" a="1"/>
  <c r="O15" i="252"/>
  <c r="L9" i="252" a="1"/>
  <c r="L9" i="252"/>
  <c r="N15" i="252" a="1"/>
  <c r="N15" i="252"/>
  <c r="O9" i="252" a="1"/>
  <c r="O9" i="252"/>
  <c r="M12" i="252" a="1"/>
  <c r="M12" i="252"/>
  <c r="N9" i="252" a="1"/>
  <c r="N9" i="252"/>
  <c r="L12" i="252" a="1"/>
  <c r="L12" i="252"/>
  <c r="N12" i="252" a="1"/>
  <c r="N12" i="252"/>
  <c r="L15" i="252" a="1"/>
  <c r="L15" i="252"/>
  <c r="D40" i="89" a="1"/>
  <c r="D40" i="89"/>
  <c r="D223" i="89" a="1"/>
  <c r="D223" i="89"/>
  <c r="D19" i="89"/>
  <c r="E62" i="89" a="1"/>
  <c r="E62" i="89"/>
  <c r="D26" i="89" a="1"/>
  <c r="D26" i="89"/>
  <c r="D49" i="89" a="1"/>
  <c r="D49" i="89"/>
  <c r="D222" i="89" a="1"/>
  <c r="D222" i="89"/>
  <c r="E56" i="89" a="1"/>
  <c r="E56" i="89"/>
  <c r="D205" i="89" a="1"/>
  <c r="D205" i="89"/>
  <c r="D197" i="89" a="1"/>
  <c r="D197" i="89"/>
  <c r="D62" i="89" a="1"/>
  <c r="D62" i="89"/>
  <c r="E205" i="89" a="1"/>
  <c r="E205" i="89"/>
  <c r="E223" i="89" a="1"/>
  <c r="E223" i="89"/>
  <c r="E26" i="89" a="1"/>
  <c r="E26" i="89"/>
  <c r="E197" i="89" a="1"/>
  <c r="E197" i="89"/>
  <c r="E222" i="89" a="1"/>
  <c r="E222" i="89"/>
  <c r="E49" i="89" a="1"/>
  <c r="E49" i="89"/>
  <c r="E40" i="89" a="1"/>
  <c r="E40" i="89"/>
  <c r="D56" i="89" a="1"/>
  <c r="D56" i="89"/>
  <c r="E19" i="89"/>
  <c r="E68" i="89"/>
  <c r="E55" i="89" a="1"/>
  <c r="E55" i="89"/>
  <c r="D33" i="89" a="1"/>
  <c r="D33" i="89"/>
  <c r="E81" i="89" a="1"/>
  <c r="E81" i="89"/>
  <c r="D7" i="89"/>
  <c r="D63" i="89" a="1"/>
  <c r="D63" i="89"/>
  <c r="E50" i="89" a="1"/>
  <c r="E50" i="89"/>
  <c r="E13" i="89" a="1"/>
  <c r="E13" i="89"/>
  <c r="D20" i="89" a="1"/>
  <c r="D20" i="89"/>
  <c r="D68" i="89"/>
  <c r="D13" i="89" a="1"/>
  <c r="D13" i="89"/>
  <c r="E33" i="89" a="1"/>
  <c r="E33" i="89"/>
  <c r="E7" i="89"/>
  <c r="D55" i="89" a="1"/>
  <c r="D55" i="89"/>
  <c r="E39" i="89" a="1"/>
  <c r="E39" i="89"/>
  <c r="D81" i="89" a="1"/>
  <c r="D81" i="89"/>
  <c r="D50" i="89" a="1"/>
  <c r="D50" i="89"/>
  <c r="E20" i="89" a="1"/>
  <c r="E20" i="89"/>
  <c r="D39" i="89" a="1"/>
  <c r="D39" i="89"/>
  <c r="E63" i="89" a="1"/>
  <c r="E63" i="89"/>
  <c r="F20" i="2" a="1"/>
  <c r="F20" i="2"/>
  <c r="AR21" i="2" a="1"/>
  <c r="AR21" i="2"/>
  <c r="AR20" i="2" a="1"/>
  <c r="AR20" i="2"/>
  <c r="AD21" i="2" a="1"/>
  <c r="AD21" i="2"/>
  <c r="V8" i="89" a="1"/>
  <c r="V8" i="89"/>
  <c r="E23" i="2" a="1"/>
  <c r="E23" i="2"/>
  <c r="D76" i="89" a="1"/>
  <c r="D76" i="89"/>
  <c r="AA10" i="2" a="1"/>
  <c r="AA10" i="2"/>
  <c r="T204" i="89" a="1"/>
  <c r="T204" i="89"/>
  <c r="C20" i="2" a="1"/>
  <c r="C20" i="2"/>
  <c r="T10" i="2" a="1"/>
  <c r="T10" i="2"/>
  <c r="O204" i="89" a="1"/>
  <c r="O204" i="89"/>
  <c r="D10" i="2" a="1"/>
  <c r="D10" i="2"/>
  <c r="C204" i="89" a="1"/>
  <c r="C204" i="89"/>
  <c r="AD20" i="2" a="1"/>
  <c r="AD20" i="2"/>
  <c r="V7" i="89" a="1"/>
  <c r="V7" i="89"/>
  <c r="AR10" i="2" a="1"/>
  <c r="AR10" i="2"/>
  <c r="T21" i="2" a="1"/>
  <c r="T21" i="2"/>
  <c r="O8" i="89" a="1"/>
  <c r="O8" i="89"/>
  <c r="C23" i="2" a="1"/>
  <c r="C23" i="2"/>
  <c r="AR23" i="2" a="1"/>
  <c r="AR23" i="2"/>
  <c r="C21" i="2" a="1"/>
  <c r="C21" i="2"/>
  <c r="F23" i="2" a="1"/>
  <c r="F23" i="2"/>
  <c r="E76" i="89" a="1"/>
  <c r="E76" i="89"/>
  <c r="T20" i="2" a="1"/>
  <c r="T20" i="2"/>
  <c r="O7" i="89" a="1"/>
  <c r="O7" i="89"/>
  <c r="AD23" i="2" a="1"/>
  <c r="AD23" i="2"/>
  <c r="V76" i="89" a="1"/>
  <c r="V76" i="89"/>
  <c r="E21" i="2" a="1"/>
  <c r="E21" i="2"/>
  <c r="D23" i="2" a="1"/>
  <c r="D23" i="2"/>
  <c r="C76" i="89" a="1"/>
  <c r="C76" i="89"/>
  <c r="E10" i="2" a="1"/>
  <c r="E10" i="2"/>
  <c r="T23" i="2" a="1"/>
  <c r="T23" i="2"/>
  <c r="O76" i="89" a="1"/>
  <c r="O76" i="89"/>
  <c r="AA21" i="2" a="1"/>
  <c r="AA21" i="2"/>
  <c r="T8" i="89" a="1"/>
  <c r="T8" i="89"/>
  <c r="D20" i="2" a="1"/>
  <c r="D20" i="2"/>
  <c r="C7" i="89" a="1"/>
  <c r="C7" i="89"/>
  <c r="C10" i="2" a="1"/>
  <c r="C10" i="2"/>
  <c r="F10" i="2" a="1"/>
  <c r="F10" i="2"/>
  <c r="E20" i="2" a="1"/>
  <c r="E20" i="2"/>
  <c r="AA20" i="2" a="1"/>
  <c r="AA20" i="2"/>
  <c r="T7" i="89" a="1"/>
  <c r="T7" i="89"/>
  <c r="AA23" i="2" a="1"/>
  <c r="AA23" i="2"/>
  <c r="T76" i="89" a="1"/>
  <c r="T76" i="89"/>
  <c r="F21" i="2" a="1"/>
  <c r="F21" i="2"/>
  <c r="AD10" i="2" a="1"/>
  <c r="AD10" i="2"/>
  <c r="V204" i="89" a="1"/>
  <c r="V204" i="89"/>
  <c r="D21" i="2" a="1"/>
  <c r="D21" i="2"/>
  <c r="C8" i="89" a="1"/>
  <c r="C8" i="89"/>
  <c r="D196" i="89" a="1"/>
  <c r="D196" i="89"/>
  <c r="E224" i="89" a="1"/>
  <c r="E224" i="89"/>
  <c r="E8" i="89" a="1"/>
  <c r="E8" i="89"/>
  <c r="E195" i="89" a="1"/>
  <c r="E195" i="89"/>
  <c r="E34" i="89" a="1"/>
  <c r="E34" i="89"/>
  <c r="D153" i="89" a="1"/>
  <c r="D153" i="89"/>
  <c r="E204" i="89" a="1"/>
  <c r="E204" i="89"/>
  <c r="D195" i="89" a="1"/>
  <c r="D195" i="89"/>
  <c r="T153" i="89" a="1"/>
  <c r="T153" i="89"/>
  <c r="AR30" i="2" a="1"/>
  <c r="AR30" i="2"/>
  <c r="F29" i="2" a="1"/>
  <c r="F29" i="2"/>
  <c r="F28" i="2" a="1"/>
  <c r="F28" i="2"/>
  <c r="D75" i="89" a="1"/>
  <c r="D75" i="89"/>
  <c r="V154" i="89" a="1"/>
  <c r="V154" i="89"/>
  <c r="E75" i="89" a="1"/>
  <c r="E75" i="89"/>
  <c r="AR29" i="2" a="1"/>
  <c r="AR29" i="2"/>
  <c r="AR28" i="2" a="1"/>
  <c r="AR28" i="2"/>
  <c r="V153" i="89" a="1"/>
  <c r="V153" i="89"/>
  <c r="C154" i="89" a="1"/>
  <c r="C154" i="89"/>
  <c r="E196" i="89" a="1"/>
  <c r="E196" i="89"/>
  <c r="C153" i="89" a="1"/>
  <c r="C153" i="89"/>
  <c r="AD30" i="2" a="1"/>
  <c r="AD30" i="2"/>
  <c r="D204" i="89" a="1"/>
  <c r="D204" i="89"/>
  <c r="E30" i="2" a="1"/>
  <c r="E30" i="2"/>
  <c r="K28" i="2"/>
  <c r="E154" i="89" a="1"/>
  <c r="E154" i="89"/>
  <c r="D34" i="89" a="1"/>
  <c r="D34" i="89"/>
  <c r="D30" i="2" a="1"/>
  <c r="D30" i="2"/>
  <c r="D224" i="89" a="1"/>
  <c r="D224" i="89"/>
  <c r="E29" i="2" a="1"/>
  <c r="E29" i="2"/>
  <c r="E28" i="2" a="1"/>
  <c r="E28" i="2"/>
  <c r="F30" i="2" a="1"/>
  <c r="F30" i="2"/>
  <c r="E225" i="89" a="1"/>
  <c r="E225" i="89"/>
  <c r="AD29" i="2" a="1"/>
  <c r="AD29" i="2"/>
  <c r="AD28" i="2" a="1"/>
  <c r="AD28" i="2"/>
  <c r="T154" i="89" a="1"/>
  <c r="T154" i="89"/>
  <c r="E27" i="89" a="1"/>
  <c r="E27" i="89"/>
  <c r="E171" i="89" a="1"/>
  <c r="E171" i="89"/>
  <c r="E14" i="89" a="1"/>
  <c r="E14" i="89"/>
  <c r="E153" i="89" a="1"/>
  <c r="E153" i="89"/>
  <c r="D8" i="89" a="1"/>
  <c r="D8" i="89"/>
  <c r="AA29" i="2" a="1"/>
  <c r="AA29" i="2"/>
  <c r="AA28" i="2" a="1"/>
  <c r="AA28" i="2"/>
  <c r="D154" i="89" a="1"/>
  <c r="D154" i="89"/>
  <c r="D27" i="89" a="1"/>
  <c r="D27" i="89"/>
  <c r="D14" i="89" a="1"/>
  <c r="D14" i="89"/>
  <c r="D225" i="89" a="1"/>
  <c r="D225" i="89"/>
  <c r="AA30" i="2" a="1"/>
  <c r="AA30" i="2"/>
  <c r="D29" i="2" a="1"/>
  <c r="D29" i="2"/>
  <c r="D28" i="2" a="1"/>
  <c r="D28" i="2"/>
  <c r="F18" i="446" a="1"/>
  <c r="F18" i="446"/>
  <c r="AK53" i="338" a="1"/>
  <c r="AK53" i="338"/>
  <c r="AK10" i="338" a="1"/>
  <c r="AK10" i="338"/>
  <c r="AJ48" i="338" a="1"/>
  <c r="AJ48" i="338"/>
  <c r="AJ47" i="338" a="1"/>
  <c r="AJ47" i="338"/>
  <c r="AJ44" i="338" a="1"/>
  <c r="AJ44" i="338"/>
  <c r="AI53" i="338" a="1"/>
  <c r="AI53" i="338"/>
  <c r="AI10" i="338" a="1"/>
  <c r="AI10" i="338"/>
  <c r="AH48" i="338" a="1"/>
  <c r="AH48" i="338"/>
  <c r="AH47" i="338" a="1"/>
  <c r="AH47" i="338"/>
  <c r="AH44" i="338" a="1"/>
  <c r="AH44" i="338"/>
  <c r="AG53" i="338"/>
  <c r="AG10" i="338"/>
  <c r="AF48" i="338"/>
  <c r="AF47" i="338"/>
  <c r="AF44" i="338"/>
  <c r="G22" i="446" a="1"/>
  <c r="G22" i="446"/>
  <c r="F24" i="446" a="1"/>
  <c r="F24" i="446"/>
  <c r="F22" i="446" a="1"/>
  <c r="F22" i="446"/>
  <c r="AK49" i="338" a="1"/>
  <c r="AK49" i="338"/>
  <c r="AK48" i="338" a="1"/>
  <c r="AK48" i="338"/>
  <c r="AK37" i="338" a="1"/>
  <c r="AK37" i="338"/>
  <c r="AK36" i="338" a="1"/>
  <c r="AK36" i="338"/>
  <c r="AK35" i="338" a="1"/>
  <c r="AK35" i="338"/>
  <c r="AK34" i="338" a="1"/>
  <c r="AK34" i="338"/>
  <c r="AJ51" i="338" a="1"/>
  <c r="AJ51" i="338"/>
  <c r="AJ50" i="338" a="1"/>
  <c r="AJ50" i="338"/>
  <c r="AI49" i="338" a="1"/>
  <c r="AI49" i="338"/>
  <c r="AI48" i="338" a="1"/>
  <c r="AI48" i="338"/>
  <c r="AI37" i="338" a="1"/>
  <c r="AI37" i="338"/>
  <c r="AI36" i="338" a="1"/>
  <c r="AI36" i="338"/>
  <c r="AI35" i="338" a="1"/>
  <c r="AI35" i="338"/>
  <c r="AI34" i="338" a="1"/>
  <c r="AI34" i="338"/>
  <c r="AH51" i="338" a="1"/>
  <c r="AH51" i="338"/>
  <c r="AH50" i="338" a="1"/>
  <c r="AH50" i="338"/>
  <c r="AG37" i="338"/>
  <c r="AG36" i="338"/>
  <c r="AG35" i="338"/>
  <c r="AG34" i="338"/>
  <c r="AF51" i="338"/>
  <c r="AF50" i="338"/>
  <c r="AG49" i="338"/>
  <c r="AG48" i="338"/>
  <c r="G24" i="446" a="1"/>
  <c r="G24" i="446"/>
  <c r="G18" i="446" a="1"/>
  <c r="G18" i="446"/>
  <c r="S9" i="2" a="1"/>
  <c r="S9" i="2"/>
  <c r="S8" i="2" a="1"/>
  <c r="S8" i="2"/>
  <c r="S5" i="2" a="1"/>
  <c r="S5" i="2"/>
  <c r="S4" i="2" a="1"/>
  <c r="S4" i="2"/>
  <c r="S32" i="2" a="1"/>
  <c r="S32" i="2"/>
  <c r="S31" i="2" a="1"/>
  <c r="S31" i="2"/>
  <c r="S30" i="2" a="1"/>
  <c r="S30" i="2"/>
  <c r="S29" i="2" a="1"/>
  <c r="S29" i="2"/>
  <c r="S28" i="2" a="1"/>
  <c r="S28" i="2"/>
  <c r="S27" i="2" a="1"/>
  <c r="S27" i="2"/>
  <c r="S26" i="2" a="1"/>
  <c r="S26" i="2"/>
  <c r="S25" i="2" a="1"/>
  <c r="S25" i="2"/>
  <c r="S24" i="2" a="1"/>
  <c r="S24" i="2"/>
  <c r="S23" i="2" a="1"/>
  <c r="S23" i="2"/>
  <c r="S22" i="2" a="1"/>
  <c r="S22" i="2"/>
  <c r="S21" i="2" a="1"/>
  <c r="S21" i="2"/>
  <c r="S20" i="2" a="1"/>
  <c r="S20" i="2"/>
  <c r="S19" i="2" a="1"/>
  <c r="S19" i="2"/>
  <c r="S18" i="2" a="1"/>
  <c r="S18" i="2"/>
  <c r="S17" i="2" a="1"/>
  <c r="S17" i="2"/>
  <c r="S16" i="2" a="1"/>
  <c r="S16" i="2"/>
  <c r="S15" i="2" a="1"/>
  <c r="S15" i="2"/>
  <c r="S14" i="2" a="1"/>
  <c r="S14" i="2"/>
  <c r="S13" i="2" a="1"/>
  <c r="S13" i="2"/>
  <c r="S12" i="2" a="1"/>
  <c r="S12" i="2"/>
  <c r="S11" i="2" a="1"/>
  <c r="S11" i="2"/>
  <c r="S10" i="2" a="1"/>
  <c r="S10" i="2"/>
  <c r="N95" i="89" a="1"/>
  <c r="N95" i="89"/>
  <c r="N82" i="89" a="1"/>
  <c r="N82" i="89"/>
  <c r="Z82" i="89" a="1"/>
  <c r="Z82" i="89" l="1"/>
  <c r="N8" i="89" a="1"/>
  <c r="N8" i="89" l="1"/>
  <c r="Z8" i="89" a="1"/>
  <c r="N76" i="89" a="1"/>
  <c r="Z8" i="89" l="1"/>
  <c r="N76" i="89"/>
  <c r="Z76" i="89" a="1"/>
  <c r="N75" i="89" a="1"/>
  <c r="Z76" i="89" l="1"/>
  <c r="N75" i="89"/>
  <c r="Z75" i="89" a="1"/>
  <c r="N7" i="89" a="1"/>
  <c r="Z75" i="89" l="1"/>
  <c r="N7" i="89"/>
  <c r="Z7" i="89"/>
  <c r="N63" i="89" a="1"/>
  <c r="N63" i="89"/>
  <c r="Z63" i="89" a="1"/>
  <c r="N62" i="89" a="1"/>
  <c r="Z63" i="89" l="1"/>
  <c r="N62" i="89"/>
  <c r="Z62" i="89" a="1"/>
  <c r="N50" i="89" a="1"/>
  <c r="Z62" i="89" l="1"/>
  <c r="N50" i="89"/>
  <c r="Z50" i="89" a="1"/>
  <c r="N49" i="89" a="1"/>
  <c r="Z50" i="89" l="1"/>
  <c r="N49" i="89"/>
  <c r="N40" i="89" a="1"/>
  <c r="N40" i="89"/>
  <c r="N39" i="89" a="1"/>
  <c r="N39" i="89"/>
  <c r="Z39" i="89" a="1"/>
  <c r="N34" i="89" a="1"/>
  <c r="Z39" i="89" l="1"/>
  <c r="N34" i="89"/>
  <c r="N33" i="89" a="1"/>
  <c r="N33" i="89"/>
  <c r="Z33" i="89" a="1"/>
  <c r="N27" i="89" a="1"/>
  <c r="Z33" i="89" l="1"/>
  <c r="N27" i="89"/>
  <c r="N237" i="89" a="1"/>
  <c r="N237" i="89"/>
  <c r="Z237" i="89" a="1"/>
  <c r="N236" i="89" a="1"/>
  <c r="Z237" i="89" l="1"/>
  <c r="N236" i="89"/>
  <c r="N235" i="89" a="1"/>
  <c r="N235" i="89"/>
  <c r="Z235" i="89" a="1"/>
  <c r="N234" i="89" a="1"/>
  <c r="Z235" i="89" l="1"/>
  <c r="N234" i="89"/>
  <c r="N233" i="89" a="1"/>
  <c r="N233" i="89"/>
  <c r="Z233" i="89" a="1"/>
  <c r="N225" i="89" a="1"/>
  <c r="Z233" i="89" l="1"/>
  <c r="N225" i="89"/>
  <c r="Z225" i="89" a="1"/>
  <c r="N224" i="89" a="1"/>
  <c r="Z225" i="89" l="1"/>
  <c r="N224" i="89"/>
  <c r="N223" i="89" a="1"/>
  <c r="N223" i="89"/>
  <c r="Z223" i="89" a="1"/>
  <c r="N222" i="89" a="1"/>
  <c r="Z223" i="89" l="1"/>
  <c r="N222" i="89"/>
  <c r="Z222" i="89" a="1"/>
  <c r="N213" i="89" a="1"/>
  <c r="Z222" i="89" l="1"/>
  <c r="N213" i="89"/>
  <c r="Z213" i="89" a="1"/>
  <c r="N212" i="89" a="1"/>
  <c r="Z213" i="89" l="1"/>
  <c r="N212" i="89"/>
  <c r="N211" i="89" a="1"/>
  <c r="N211" i="89"/>
  <c r="Z211" i="89" a="1"/>
  <c r="N205" i="89" a="1"/>
  <c r="Z211" i="89" l="1"/>
  <c r="N205" i="89"/>
  <c r="Z205" i="89" a="1"/>
  <c r="N204" i="89" a="1"/>
  <c r="Z205" i="89" l="1"/>
  <c r="N204" i="89"/>
  <c r="Z204" i="89" a="1"/>
  <c r="N20" i="89" a="1"/>
  <c r="Z204" i="89" l="1"/>
  <c r="N20" i="89"/>
  <c r="Z20" i="89" a="1"/>
  <c r="N197" i="89" a="1"/>
  <c r="Z20" i="89" l="1"/>
  <c r="N197" i="89"/>
  <c r="Z197" i="89" a="1"/>
  <c r="N196" i="89" a="1"/>
  <c r="Z197" i="89" l="1"/>
  <c r="N196" i="89"/>
  <c r="Z196" i="89" a="1"/>
  <c r="N195" i="89" a="1"/>
  <c r="Z196" i="89" l="1"/>
  <c r="N195" i="89"/>
  <c r="Z195" i="89" a="1"/>
  <c r="N19" i="89" a="1"/>
  <c r="Z195" i="89" l="1"/>
  <c r="N19" i="89"/>
  <c r="N188" i="89" a="1"/>
  <c r="N188" i="89"/>
  <c r="Z188" i="89" a="1"/>
  <c r="N187" i="89" a="1"/>
  <c r="Z188" i="89" l="1"/>
  <c r="N187" i="89"/>
  <c r="Z187" i="89" a="1"/>
  <c r="N186" i="89" a="1"/>
  <c r="Z187" i="89" l="1"/>
  <c r="N186" i="89"/>
  <c r="Z186" i="89" a="1"/>
  <c r="N180" i="89" a="1"/>
  <c r="Z186" i="89" l="1"/>
  <c r="N180" i="89"/>
  <c r="Z180" i="89" a="1"/>
  <c r="N171" i="89" a="1"/>
  <c r="Z180" i="89" l="1"/>
  <c r="N171" i="89"/>
  <c r="N170" i="89" a="1"/>
  <c r="N170" i="89"/>
  <c r="Z170" i="89" a="1"/>
  <c r="N169" i="89" a="1"/>
  <c r="Z170" i="89" l="1"/>
  <c r="N169" i="89"/>
  <c r="Z169" i="89" a="1"/>
  <c r="N160" i="89" a="1"/>
  <c r="Z169" i="89" l="1"/>
  <c r="N160" i="89"/>
  <c r="N154" i="89" a="1"/>
  <c r="N154" i="89"/>
  <c r="Z154" i="89" a="1"/>
  <c r="N153" i="89" a="1"/>
  <c r="Z154" i="89" l="1"/>
  <c r="N153" i="89"/>
  <c r="Z153" i="89" a="1"/>
  <c r="N14" i="89" a="1"/>
  <c r="Z153" i="89" l="1"/>
  <c r="N14" i="89"/>
  <c r="N13" i="89" a="1"/>
  <c r="N13" i="89"/>
  <c r="Z13" i="89" a="1"/>
  <c r="N102" i="89" a="1"/>
  <c r="Z13" i="89" l="1"/>
  <c r="N102" i="89"/>
  <c r="N101" i="89" a="1"/>
  <c r="N101" i="89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7" i="1"/>
  <c r="L46" i="1"/>
  <c r="L45" i="1"/>
  <c r="L44" i="1"/>
  <c r="L43" i="1"/>
  <c r="L42" i="1"/>
  <c r="L41" i="1"/>
  <c r="L40" i="1"/>
  <c r="L39" i="1"/>
  <c r="L38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7" i="1"/>
  <c r="L16" i="1"/>
  <c r="L15" i="1"/>
  <c r="L14" i="1"/>
  <c r="L13" i="1"/>
  <c r="L12" i="1"/>
  <c r="AJ37" i="338" a="1"/>
  <c r="AJ37" i="338"/>
  <c r="AH37" i="338" a="1"/>
  <c r="AH37" i="338"/>
  <c r="AJ36" i="338" a="1"/>
  <c r="AJ36" i="338"/>
  <c r="AF37" i="338"/>
  <c r="AF55" i="1"/>
  <c r="AF54" i="1"/>
  <c r="AH36" i="338" a="1"/>
  <c r="AH36" i="338"/>
  <c r="AF36" i="338"/>
  <c r="AF47" i="1"/>
  <c r="AF46" i="1"/>
  <c r="AJ35" i="338" a="1"/>
  <c r="AJ35" i="338"/>
  <c r="AJ14" i="338" a="1"/>
  <c r="AJ14" i="338"/>
  <c r="AH35" i="338" a="1"/>
  <c r="AH35" i="338"/>
  <c r="AH14" i="338" a="1"/>
  <c r="AH14" i="338"/>
  <c r="G36" i="446" a="1"/>
  <c r="G36" i="446"/>
  <c r="AF35" i="338"/>
  <c r="AF14" i="338"/>
  <c r="AF53" i="1"/>
  <c r="AF52" i="1"/>
  <c r="AC53" i="1" a="1"/>
  <c r="AC53" i="1"/>
  <c r="AC52" i="1" a="1"/>
  <c r="AC52" i="1"/>
  <c r="D36" i="446" a="1"/>
  <c r="D36" i="446"/>
  <c r="AB53" i="1"/>
  <c r="AB52" i="1"/>
  <c r="F36" i="446" a="1"/>
  <c r="F36" i="446"/>
  <c r="G37" i="446" a="1"/>
  <c r="G37" i="446"/>
  <c r="F37" i="446" a="1"/>
  <c r="F37" i="446"/>
  <c r="D37" i="446" a="1"/>
  <c r="D37" i="446"/>
  <c r="V27" i="89" a="1"/>
  <c r="V27" i="89"/>
  <c r="V171" i="89" a="1"/>
  <c r="V171" i="89"/>
  <c r="V14" i="89" a="1"/>
  <c r="V14" i="89"/>
  <c r="T27" i="89" a="1"/>
  <c r="T27" i="89"/>
  <c r="T171" i="89" a="1"/>
  <c r="T171" i="89"/>
  <c r="T14" i="89" a="1"/>
  <c r="T14" i="89"/>
  <c r="O27" i="89" a="1"/>
  <c r="O27" i="89"/>
  <c r="Z27" i="89" a="1"/>
  <c r="O171" i="89" a="1"/>
  <c r="Z27" i="89" l="1"/>
  <c r="O171" i="89"/>
  <c r="Z171" i="89" a="1"/>
  <c r="O14" i="89" a="1"/>
  <c r="Z171" i="89" l="1"/>
  <c r="O14" i="89"/>
  <c r="Z14" i="89" a="1"/>
  <c r="C27" i="89" a="1"/>
  <c r="Z14" i="89" l="1"/>
  <c r="C27" i="89"/>
  <c r="C171" i="89" a="1"/>
  <c r="C171" i="89"/>
  <c r="C14" i="89" a="1"/>
  <c r="C14" i="89"/>
  <c r="G6" i="446" a="1"/>
  <c r="G6" i="446"/>
  <c r="G5" i="446" a="1"/>
  <c r="G5" i="446"/>
  <c r="F6" i="446" a="1"/>
  <c r="F6" i="446"/>
  <c r="F5" i="446" a="1"/>
  <c r="F5" i="446"/>
  <c r="O6" i="252" a="1"/>
  <c r="O6" i="252"/>
  <c r="Y6" i="252" a="1"/>
  <c r="Y6" i="252"/>
  <c r="L6" i="252" a="1"/>
  <c r="L6" i="252"/>
  <c r="M6" i="252" a="1"/>
  <c r="M6" i="252"/>
  <c r="N6" i="252" a="1"/>
  <c r="N6" i="252"/>
  <c r="AK45" i="338" a="1"/>
  <c r="AK45" i="338"/>
  <c r="AG45" i="338"/>
  <c r="AI45" i="338" a="1"/>
  <c r="AI45" i="338"/>
  <c r="AA179" i="89" a="1"/>
  <c r="AA179" i="89"/>
  <c r="AA178" i="89" a="1"/>
  <c r="AA178" i="89"/>
  <c r="T179" i="89" a="1"/>
  <c r="T179" i="89"/>
  <c r="T178" i="89" a="1"/>
  <c r="T178" i="89"/>
  <c r="AK55" i="338" a="1"/>
  <c r="AK55" i="338"/>
  <c r="AK14" i="338" a="1"/>
  <c r="AK14" i="338"/>
  <c r="AJ55" i="338" a="1"/>
  <c r="AJ55" i="338"/>
  <c r="E179" i="89" a="1"/>
  <c r="E179" i="89"/>
  <c r="E178" i="89" a="1"/>
  <c r="E178" i="89"/>
  <c r="V179" i="89" a="1"/>
  <c r="V179" i="89"/>
  <c r="V178" i="89" a="1"/>
  <c r="V178" i="89"/>
  <c r="T55" i="338" a="1"/>
  <c r="T55" i="338"/>
  <c r="O179" i="89" a="1"/>
  <c r="O179" i="89"/>
  <c r="Z179" i="89" a="1"/>
  <c r="O178" i="89" a="1"/>
  <c r="Z179" i="89" l="1"/>
  <c r="O178" i="89"/>
  <c r="Z178" i="89" a="1"/>
  <c r="J1" i="24" a="1"/>
  <c r="Z178" i="89" l="1"/>
  <c r="J1" i="24"/>
  <c r="K2" i="2" a="1"/>
  <c r="K2" i="2"/>
  <c r="X55" i="338" a="1"/>
  <c r="X55" i="338"/>
  <c r="P55" i="338" a="1"/>
  <c r="P55" i="338"/>
  <c r="AI55" i="338" a="1"/>
  <c r="AI55" i="338"/>
  <c r="AI14" i="338" a="1"/>
  <c r="AI14" i="338"/>
  <c r="AH55" i="338" a="1"/>
  <c r="AH55" i="338"/>
  <c r="J55" i="338" a="1"/>
  <c r="J55" i="338"/>
  <c r="J14" i="338" a="1"/>
  <c r="J14" i="338"/>
  <c r="H55" i="338" a="1"/>
  <c r="H55" i="338"/>
  <c r="C179" i="89" a="1"/>
  <c r="C179" i="89"/>
  <c r="C178" i="89" a="1"/>
  <c r="C178" i="89"/>
  <c r="S55" i="338" a="1"/>
  <c r="S55" i="338"/>
  <c r="BA7" i="2"/>
  <c r="BB7" i="2"/>
  <c r="BA6" i="2"/>
  <c r="AN6" i="2" a="1"/>
  <c r="G6" i="2" a="1"/>
  <c r="AF6" i="2" a="1"/>
  <c r="Q6" i="2" a="1"/>
  <c r="G7" i="2" a="1"/>
  <c r="Q7" i="2" a="1"/>
  <c r="P7" i="2" a="1"/>
  <c r="AF7" i="2" a="1"/>
  <c r="AN7" i="2" a="1"/>
  <c r="P6" i="2" a="1"/>
  <c r="BC7" i="2" l="1"/>
  <c r="AN7" i="2"/>
  <c r="G7" i="2"/>
  <c r="AN6" i="2"/>
  <c r="AF6" i="2"/>
  <c r="G6" i="2"/>
  <c r="P6" i="2"/>
  <c r="P7" i="2"/>
  <c r="Q7" i="2"/>
  <c r="AF7" i="2"/>
  <c r="Q6" i="2"/>
  <c r="BB6" i="2"/>
  <c r="BC6" i="2" s="1"/>
  <c r="S7" i="2" a="1"/>
  <c r="S6" i="2" a="1"/>
  <c r="S6" i="2" l="1"/>
  <c r="AO6" i="2" s="1"/>
  <c r="S7" i="2"/>
  <c r="AP7" i="2" s="1"/>
  <c r="R7" i="2"/>
  <c r="R6" i="2"/>
  <c r="O6" i="2"/>
  <c r="O7" i="2"/>
  <c r="Z6" i="2"/>
  <c r="AV6" i="2" s="1" a="1"/>
  <c r="AO7" i="2" l="1"/>
  <c r="U7" i="2"/>
  <c r="U6" i="2"/>
  <c r="AP6" i="2"/>
  <c r="AV6" i="2"/>
  <c r="AE7" i="2"/>
  <c r="AL6" i="2"/>
  <c r="AS6" i="2"/>
  <c r="AT6" i="2"/>
  <c r="AB6" i="2"/>
  <c r="M6" i="2"/>
  <c r="AM6" i="2"/>
  <c r="X6" i="2"/>
  <c r="Y6" i="2" s="1"/>
  <c r="AT7" i="2"/>
  <c r="AL7" i="2"/>
  <c r="AS7" i="2"/>
  <c r="M7" i="2"/>
  <c r="AM7" i="2"/>
  <c r="AB7" i="2"/>
  <c r="X7" i="2"/>
  <c r="Y7" i="2" s="1"/>
  <c r="AE6" i="2"/>
  <c r="L81" i="89"/>
  <c r="W81" i="89"/>
  <c r="K81" i="89"/>
  <c r="W82" i="89" a="1"/>
  <c r="L82" i="89" a="1"/>
  <c r="K82" i="89" a="1"/>
  <c r="F81" i="89"/>
  <c r="N81" i="89" s="1" a="1"/>
  <c r="N81" i="89" l="1"/>
  <c r="K82" i="89"/>
  <c r="L82" i="89"/>
  <c r="W82" i="89"/>
  <c r="Z81" i="89" a="1"/>
  <c r="Z81" i="89" l="1"/>
  <c r="N41" i="1"/>
  <c r="J41" i="1"/>
  <c r="I40" i="1" a="1"/>
  <c r="I40" i="1" l="1"/>
  <c r="BA11" i="2" l="1"/>
  <c r="BB11" i="2"/>
  <c r="BA10" i="2"/>
  <c r="BB10" i="2"/>
  <c r="I37" i="2"/>
  <c r="G11" i="2" a="1"/>
  <c r="Q10" i="2" a="1"/>
  <c r="AF11" i="2" a="1"/>
  <c r="P10" i="2" a="1"/>
  <c r="L10" i="2" a="1"/>
  <c r="L11" i="2" a="1"/>
  <c r="AN11" i="2" a="1"/>
  <c r="AN10" i="2" a="1"/>
  <c r="G10" i="2" a="1"/>
  <c r="P11" i="2" a="1"/>
  <c r="AF10" i="2" a="1"/>
  <c r="Q11" i="2" a="1"/>
  <c r="L10" i="2" l="1"/>
  <c r="L11" i="2"/>
  <c r="AN11" i="2"/>
  <c r="AN10" i="2"/>
  <c r="I7" i="1"/>
  <c r="I8" i="1"/>
  <c r="BC10" i="2"/>
  <c r="BC11" i="2"/>
  <c r="G11" i="2"/>
  <c r="P10" i="2"/>
  <c r="Q10" i="2"/>
  <c r="Q11" i="2"/>
  <c r="P11" i="2"/>
  <c r="AF11" i="2"/>
  <c r="G10" i="2"/>
  <c r="AF10" i="2"/>
  <c r="N20" i="1" l="1"/>
  <c r="J20" i="1"/>
  <c r="N28" i="1"/>
  <c r="J28" i="1"/>
  <c r="R10" i="2"/>
  <c r="U10" i="2"/>
  <c r="AO11" i="2"/>
  <c r="R11" i="2"/>
  <c r="O10" i="2"/>
  <c r="AP10" i="2"/>
  <c r="O11" i="2"/>
  <c r="Z11" i="2"/>
  <c r="AV11" i="2" s="1" a="1"/>
  <c r="S49" i="89" a="1"/>
  <c r="Z19" i="2"/>
  <c r="AV19" i="2" s="1" a="1"/>
  <c r="Z8" i="2"/>
  <c r="AV8" i="2" s="1" a="1"/>
  <c r="S76" i="89" a="1"/>
  <c r="Z32" i="2"/>
  <c r="AV32" i="2" s="1" a="1"/>
  <c r="AV32" i="2" l="1"/>
  <c r="AV8" i="2"/>
  <c r="AV19" i="2"/>
  <c r="AV11" i="2"/>
  <c r="AE10" i="2"/>
  <c r="AE11" i="2"/>
  <c r="S76" i="89"/>
  <c r="S49" i="89"/>
  <c r="AP11" i="2"/>
  <c r="U11" i="2"/>
  <c r="AO10" i="2"/>
  <c r="T20" i="1"/>
  <c r="AL10" i="2"/>
  <c r="AT10" i="2"/>
  <c r="AS10" i="2"/>
  <c r="AM10" i="2"/>
  <c r="AB10" i="2"/>
  <c r="X10" i="2"/>
  <c r="Y10" i="2" s="1"/>
  <c r="M10" i="2"/>
  <c r="AS11" i="2"/>
  <c r="AL11" i="2"/>
  <c r="AT11" i="2"/>
  <c r="AM11" i="2"/>
  <c r="X11" i="2"/>
  <c r="Y11" i="2" s="1"/>
  <c r="AB11" i="2"/>
  <c r="M11" i="2"/>
  <c r="R76" i="89" a="1"/>
  <c r="R49" i="89" a="1"/>
  <c r="L205" i="89" a="1"/>
  <c r="K205" i="89" a="1"/>
  <c r="F205" i="89" a="1"/>
  <c r="W205" i="89" a="1"/>
  <c r="R49" i="89" l="1"/>
  <c r="R76" i="89"/>
  <c r="W205" i="89"/>
  <c r="F205" i="89"/>
  <c r="K205" i="89"/>
  <c r="L205" i="89"/>
  <c r="BA19" i="2"/>
  <c r="BB19" i="2"/>
  <c r="BA18" i="2"/>
  <c r="BB18" i="2"/>
  <c r="G19" i="2" a="1"/>
  <c r="L204" i="89" a="1"/>
  <c r="AN18" i="2" a="1"/>
  <c r="Q18" i="2" a="1"/>
  <c r="G18" i="2" a="1"/>
  <c r="L19" i="2" a="1"/>
  <c r="AN19" i="2" a="1"/>
  <c r="AF18" i="2" a="1"/>
  <c r="W204" i="89" a="1"/>
  <c r="L18" i="2" a="1"/>
  <c r="P18" i="2" a="1"/>
  <c r="P19" i="2" a="1"/>
  <c r="K204" i="89" a="1"/>
  <c r="AF19" i="2" a="1"/>
  <c r="Q19" i="2" a="1"/>
  <c r="F204" i="89" a="1"/>
  <c r="W204" i="89" l="1"/>
  <c r="P19" i="2"/>
  <c r="Q19" i="2"/>
  <c r="L19" i="2"/>
  <c r="AF19" i="2"/>
  <c r="AN19" i="2"/>
  <c r="F204" i="89"/>
  <c r="L204" i="89"/>
  <c r="G19" i="2"/>
  <c r="K204" i="89"/>
  <c r="BC19" i="2"/>
  <c r="BC18" i="2"/>
  <c r="L18" i="2"/>
  <c r="AN18" i="2"/>
  <c r="Q18" i="2"/>
  <c r="AF18" i="2"/>
  <c r="G18" i="2"/>
  <c r="P18" i="2"/>
  <c r="R19" i="2" l="1"/>
  <c r="AO19" i="2"/>
  <c r="R18" i="2"/>
  <c r="AO18" i="2"/>
  <c r="O19" i="2"/>
  <c r="U19" i="2"/>
  <c r="AP19" i="2"/>
  <c r="U18" i="2"/>
  <c r="AP18" i="2"/>
  <c r="O18" i="2"/>
  <c r="J55" i="1"/>
  <c r="N55" i="1"/>
  <c r="N50" i="1"/>
  <c r="J50" i="1"/>
  <c r="AL18" i="2" l="1"/>
  <c r="AS18" i="2"/>
  <c r="AT18" i="2"/>
  <c r="AB18" i="2"/>
  <c r="X18" i="2"/>
  <c r="Y18" i="2" s="1"/>
  <c r="AM18" i="2"/>
  <c r="M18" i="2"/>
  <c r="AS19" i="2"/>
  <c r="AT19" i="2"/>
  <c r="AL19" i="2"/>
  <c r="X19" i="2"/>
  <c r="Y19" i="2" s="1"/>
  <c r="AB19" i="2"/>
  <c r="M19" i="2"/>
  <c r="AM19" i="2"/>
  <c r="AE18" i="2"/>
  <c r="AE19" i="2"/>
  <c r="I6" i="1" l="1"/>
  <c r="I5" i="1"/>
  <c r="I4" i="1"/>
  <c r="I3" i="1"/>
  <c r="I2" i="1" l="1"/>
  <c r="I19" i="1" a="1"/>
  <c r="I54" i="1" a="1"/>
  <c r="I49" i="1" a="1"/>
  <c r="I49" i="1" l="1"/>
  <c r="I19" i="1"/>
  <c r="I54" i="1"/>
  <c r="I1" i="1"/>
  <c r="BA27" i="2"/>
  <c r="BB27" i="2"/>
  <c r="AN27" i="2" a="1"/>
  <c r="G27" i="2" a="1"/>
  <c r="L27" i="2" a="1"/>
  <c r="Q27" i="2" a="1"/>
  <c r="P27" i="2" a="1"/>
  <c r="AF27" i="2" a="1"/>
  <c r="BC27" i="2" l="1"/>
  <c r="G27" i="2"/>
  <c r="L27" i="2"/>
  <c r="P27" i="2"/>
  <c r="Q27" i="2"/>
  <c r="AN27" i="2"/>
  <c r="AF27" i="2"/>
  <c r="I36" i="2"/>
  <c r="I35" i="2"/>
  <c r="R27" i="2" l="1"/>
  <c r="AO27" i="2"/>
  <c r="AP27" i="2"/>
  <c r="U27" i="2"/>
  <c r="O27" i="2"/>
  <c r="AE27" i="2" l="1"/>
  <c r="AL27" i="2"/>
  <c r="AT27" i="2"/>
  <c r="AS27" i="2"/>
  <c r="X27" i="2"/>
  <c r="Y27" i="2" s="1"/>
  <c r="AB27" i="2"/>
  <c r="M27" i="2"/>
  <c r="AM27" i="2"/>
  <c r="N30" i="1"/>
  <c r="J30" i="1"/>
  <c r="N19" i="1" l="1"/>
  <c r="J19" i="1"/>
  <c r="T19" i="1" l="1"/>
  <c r="I29" i="1" a="1"/>
  <c r="I29" i="1" l="1"/>
  <c r="N17" i="1" l="1"/>
  <c r="J17" i="1"/>
  <c r="N26" i="1"/>
  <c r="J26" i="1"/>
  <c r="N57" i="1" l="1"/>
  <c r="J57" i="1"/>
  <c r="BB29" i="2"/>
  <c r="BA29" i="2"/>
  <c r="P29" i="2" a="1"/>
  <c r="Q29" i="2" a="1"/>
  <c r="AN29" i="2" a="1"/>
  <c r="G29" i="2" a="1"/>
  <c r="L29" i="2" a="1"/>
  <c r="AF29" i="2" a="1"/>
  <c r="T57" i="1" l="1"/>
  <c r="BC29" i="2"/>
  <c r="L29" i="2"/>
  <c r="G29" i="2"/>
  <c r="P29" i="2"/>
  <c r="AF29" i="2"/>
  <c r="AN29" i="2"/>
  <c r="Q29" i="2"/>
  <c r="N59" i="1" l="1"/>
  <c r="J59" i="1"/>
  <c r="J60" i="1"/>
  <c r="N60" i="1"/>
  <c r="N23" i="1"/>
  <c r="J23" i="1"/>
  <c r="R29" i="2"/>
  <c r="AO29" i="2"/>
  <c r="U29" i="2"/>
  <c r="O29" i="2"/>
  <c r="AP29" i="2"/>
  <c r="T23" i="1" l="1"/>
  <c r="AL29" i="2"/>
  <c r="X29" i="2"/>
  <c r="Y29" i="2" s="1"/>
  <c r="AT29" i="2"/>
  <c r="AS29" i="2"/>
  <c r="AM29" i="2"/>
  <c r="M29" i="2"/>
  <c r="AB29" i="2"/>
  <c r="AE29" i="2"/>
  <c r="N16" i="1" l="1"/>
  <c r="J16" i="1"/>
  <c r="AF30" i="2" a="1"/>
  <c r="AF30" i="2" l="1"/>
  <c r="Q30" i="2" a="1"/>
  <c r="G30" i="2" a="1"/>
  <c r="P30" i="2" a="1"/>
  <c r="L30" i="2" a="1"/>
  <c r="AN30" i="2" a="1"/>
  <c r="L30" i="2" l="1"/>
  <c r="G30" i="2"/>
  <c r="Q30" i="2"/>
  <c r="AN30" i="2"/>
  <c r="P30" i="2"/>
  <c r="BB30" i="2"/>
  <c r="BA30" i="2"/>
  <c r="BC30" i="2" l="1"/>
  <c r="R30" i="2" l="1"/>
  <c r="AO30" i="2"/>
  <c r="O30" i="2"/>
  <c r="AP30" i="2"/>
  <c r="U30" i="2"/>
  <c r="AE30" i="2" l="1"/>
  <c r="AT30" i="2"/>
  <c r="AS30" i="2"/>
  <c r="X30" i="2"/>
  <c r="Y30" i="2" s="1"/>
  <c r="AL30" i="2"/>
  <c r="AM30" i="2"/>
  <c r="AB30" i="2"/>
  <c r="M30" i="2"/>
  <c r="W154" i="89" a="1"/>
  <c r="F154" i="89" a="1"/>
  <c r="K154" i="89" a="1"/>
  <c r="L154" i="89" a="1"/>
  <c r="F154" i="89" l="1"/>
  <c r="L154" i="89"/>
  <c r="W154" i="89"/>
  <c r="K154" i="89"/>
  <c r="AG154" i="89"/>
  <c r="M154" i="89" l="1"/>
  <c r="I154" i="89"/>
  <c r="N53" i="1"/>
  <c r="J53" i="1"/>
  <c r="J47" i="1"/>
  <c r="N47" i="1"/>
  <c r="J45" i="1"/>
  <c r="N45" i="1"/>
  <c r="AA154" i="89" a="1"/>
  <c r="AA154" i="89" l="1"/>
  <c r="J154" i="89"/>
  <c r="P154" i="89"/>
  <c r="Q154" i="89" s="1"/>
  <c r="T45" i="1"/>
  <c r="Y154" i="89" l="1"/>
  <c r="AC154" i="89"/>
  <c r="U154" i="89"/>
  <c r="L75" i="89" a="1"/>
  <c r="K75" i="89" a="1"/>
  <c r="F75" i="89" a="1"/>
  <c r="W75" i="89" a="1"/>
  <c r="K75" i="89" l="1"/>
  <c r="L75" i="89"/>
  <c r="F75" i="89"/>
  <c r="W75" i="89"/>
  <c r="J33" i="1" l="1"/>
  <c r="N33" i="1"/>
  <c r="J32" i="1"/>
  <c r="N32" i="1"/>
  <c r="I22" i="1" a="1"/>
  <c r="T33" i="1" l="1"/>
  <c r="T32" i="1"/>
  <c r="I22" i="1"/>
  <c r="J32" i="2"/>
  <c r="K32" i="2" s="1"/>
  <c r="J31" i="2"/>
  <c r="K31" i="2" s="1"/>
  <c r="J26" i="2"/>
  <c r="K26" i="2" s="1"/>
  <c r="J25" i="2"/>
  <c r="K25" i="2" s="1"/>
  <c r="J24" i="2"/>
  <c r="K24" i="2" s="1"/>
  <c r="J23" i="2"/>
  <c r="K23" i="2" s="1"/>
  <c r="J22" i="2"/>
  <c r="J21" i="2"/>
  <c r="K21" i="2" s="1"/>
  <c r="J20" i="2"/>
  <c r="J17" i="2"/>
  <c r="K17" i="2" s="1"/>
  <c r="J16" i="2"/>
  <c r="K16" i="2" s="1"/>
  <c r="J15" i="2"/>
  <c r="K15" i="2" s="1"/>
  <c r="J14" i="2"/>
  <c r="K14" i="2" s="1"/>
  <c r="J13" i="2"/>
  <c r="K13" i="2" s="1"/>
  <c r="J12" i="2"/>
  <c r="K12" i="2" s="1"/>
  <c r="J9" i="2"/>
  <c r="K9" i="2" s="1"/>
  <c r="J8" i="2"/>
  <c r="K8" i="2" s="1"/>
  <c r="J5" i="2"/>
  <c r="K5" i="2" s="1"/>
  <c r="I38" i="1" a="1"/>
  <c r="K20" i="2" l="1"/>
  <c r="K37" i="2" s="1"/>
  <c r="J37" i="2"/>
  <c r="K22" i="2"/>
  <c r="K36" i="2" s="1"/>
  <c r="J36" i="2"/>
  <c r="N39" i="1"/>
  <c r="J39" i="1"/>
  <c r="J22" i="1"/>
  <c r="N22" i="1"/>
  <c r="I38" i="1"/>
  <c r="T39" i="1" l="1"/>
  <c r="N43" i="1"/>
  <c r="J43" i="1"/>
  <c r="T43" i="1" l="1"/>
  <c r="X2" i="527" l="1"/>
  <c r="U2" i="527"/>
  <c r="R2" i="527"/>
  <c r="T165" i="444"/>
  <c r="U165" i="444" s="1"/>
  <c r="S165" i="444"/>
  <c r="R165" i="444"/>
  <c r="G165" i="444"/>
  <c r="R164" i="444"/>
  <c r="G164" i="444"/>
  <c r="S163" i="444"/>
  <c r="R163" i="444"/>
  <c r="T163" i="444" s="1"/>
  <c r="U163" i="444" s="1"/>
  <c r="V163" i="444" s="1"/>
  <c r="W163" i="444" s="1"/>
  <c r="G163" i="444"/>
  <c r="T162" i="444"/>
  <c r="U162" i="444" s="1"/>
  <c r="R162" i="444"/>
  <c r="S162" i="444" s="1"/>
  <c r="G162" i="444"/>
  <c r="T161" i="444"/>
  <c r="U161" i="444" s="1"/>
  <c r="V161" i="444" s="1"/>
  <c r="W161" i="444" s="1"/>
  <c r="S161" i="444"/>
  <c r="R161" i="444"/>
  <c r="G161" i="444"/>
  <c r="T160" i="444"/>
  <c r="U160" i="444" s="1"/>
  <c r="R160" i="444"/>
  <c r="S160" i="444" s="1"/>
  <c r="G160" i="444"/>
  <c r="S159" i="444"/>
  <c r="R159" i="444"/>
  <c r="T159" i="444" s="1"/>
  <c r="U159" i="444" s="1"/>
  <c r="G159" i="444"/>
  <c r="T158" i="444"/>
  <c r="U158" i="444" s="1"/>
  <c r="R158" i="444"/>
  <c r="S158" i="444" s="1"/>
  <c r="G158" i="444"/>
  <c r="R157" i="444"/>
  <c r="T157" i="444" s="1"/>
  <c r="U157" i="444" s="1"/>
  <c r="G157" i="444"/>
  <c r="R156" i="444"/>
  <c r="T156" i="444" s="1"/>
  <c r="U156" i="444" s="1"/>
  <c r="G156" i="444"/>
  <c r="R155" i="444"/>
  <c r="T155" i="444" s="1"/>
  <c r="U155" i="444" s="1"/>
  <c r="G155" i="444"/>
  <c r="R154" i="444"/>
  <c r="T154" i="444" s="1"/>
  <c r="U154" i="444" s="1"/>
  <c r="G154" i="444"/>
  <c r="R153" i="444"/>
  <c r="G153" i="444"/>
  <c r="R152" i="444"/>
  <c r="S152" i="444" s="1"/>
  <c r="G152" i="444"/>
  <c r="R151" i="444"/>
  <c r="T151" i="444" s="1"/>
  <c r="U151" i="444" s="1"/>
  <c r="G151" i="444"/>
  <c r="T150" i="444"/>
  <c r="U150" i="444" s="1"/>
  <c r="S150" i="444"/>
  <c r="R150" i="444"/>
  <c r="G150" i="444"/>
  <c r="T149" i="444"/>
  <c r="U149" i="444" s="1"/>
  <c r="S149" i="444"/>
  <c r="R149" i="444"/>
  <c r="G149" i="444"/>
  <c r="R148" i="444"/>
  <c r="G148" i="444"/>
  <c r="T147" i="444"/>
  <c r="U147" i="444" s="1"/>
  <c r="R147" i="444"/>
  <c r="S147" i="444" s="1"/>
  <c r="G147" i="444"/>
  <c r="T146" i="444"/>
  <c r="U146" i="444" s="1"/>
  <c r="V146" i="444" s="1"/>
  <c r="W146" i="444" s="1"/>
  <c r="R146" i="444"/>
  <c r="S146" i="444" s="1"/>
  <c r="G146" i="444"/>
  <c r="T145" i="444"/>
  <c r="U145" i="444" s="1"/>
  <c r="S145" i="444"/>
  <c r="R145" i="444"/>
  <c r="G145" i="444"/>
  <c r="S144" i="444"/>
  <c r="R144" i="444"/>
  <c r="T144" i="444" s="1"/>
  <c r="U144" i="444" s="1"/>
  <c r="G144" i="444"/>
  <c r="S143" i="444"/>
  <c r="R143" i="444"/>
  <c r="T143" i="444" s="1"/>
  <c r="U143" i="444" s="1"/>
  <c r="V143" i="444" s="1"/>
  <c r="W143" i="444" s="1"/>
  <c r="G143" i="444"/>
  <c r="T142" i="444"/>
  <c r="U142" i="444" s="1"/>
  <c r="R142" i="444"/>
  <c r="S142" i="444" s="1"/>
  <c r="G142" i="444"/>
  <c r="T141" i="444"/>
  <c r="U141" i="444" s="1"/>
  <c r="S141" i="444"/>
  <c r="R141" i="444"/>
  <c r="G141" i="444"/>
  <c r="T140" i="444"/>
  <c r="U140" i="444" s="1"/>
  <c r="V140" i="444" s="1"/>
  <c r="W140" i="444" s="1"/>
  <c r="S140" i="444"/>
  <c r="R140" i="444"/>
  <c r="G140" i="444"/>
  <c r="S139" i="444"/>
  <c r="R139" i="444"/>
  <c r="T139" i="444" s="1"/>
  <c r="U139" i="444" s="1"/>
  <c r="G139" i="444"/>
  <c r="T138" i="444"/>
  <c r="U138" i="444" s="1"/>
  <c r="R138" i="444"/>
  <c r="S138" i="444" s="1"/>
  <c r="G138" i="444"/>
  <c r="T137" i="444"/>
  <c r="U137" i="444" s="1"/>
  <c r="R137" i="444"/>
  <c r="S137" i="444" s="1"/>
  <c r="G137" i="444"/>
  <c r="R136" i="444"/>
  <c r="G136" i="444"/>
  <c r="S135" i="444"/>
  <c r="R135" i="444"/>
  <c r="T135" i="444" s="1"/>
  <c r="U135" i="444" s="1"/>
  <c r="G135" i="444"/>
  <c r="R134" i="444"/>
  <c r="T134" i="444" s="1"/>
  <c r="U134" i="444" s="1"/>
  <c r="G134" i="444"/>
  <c r="R133" i="444"/>
  <c r="T133" i="444" s="1"/>
  <c r="U133" i="444" s="1"/>
  <c r="G133" i="444"/>
  <c r="S132" i="444"/>
  <c r="R132" i="444"/>
  <c r="T132" i="444" s="1"/>
  <c r="U132" i="444" s="1"/>
  <c r="G132" i="444"/>
  <c r="R131" i="444"/>
  <c r="T131" i="444" s="1"/>
  <c r="U131" i="444" s="1"/>
  <c r="G131" i="444"/>
  <c r="T130" i="444"/>
  <c r="U130" i="444" s="1"/>
  <c r="S130" i="444"/>
  <c r="R130" i="444"/>
  <c r="G130" i="444"/>
  <c r="T129" i="444"/>
  <c r="U129" i="444" s="1"/>
  <c r="S129" i="444"/>
  <c r="R129" i="444"/>
  <c r="G129" i="444"/>
  <c r="R128" i="444"/>
  <c r="G128" i="444"/>
  <c r="R127" i="444"/>
  <c r="S127" i="444" s="1"/>
  <c r="G127" i="444"/>
  <c r="T126" i="444"/>
  <c r="U126" i="444" s="1"/>
  <c r="R126" i="444"/>
  <c r="S126" i="444" s="1"/>
  <c r="G126" i="444"/>
  <c r="T125" i="444"/>
  <c r="U125" i="444" s="1"/>
  <c r="S125" i="444"/>
  <c r="R125" i="444"/>
  <c r="G125" i="444"/>
  <c r="R124" i="444"/>
  <c r="T124" i="444" s="1"/>
  <c r="U124" i="444" s="1"/>
  <c r="G124" i="444"/>
  <c r="S123" i="444"/>
  <c r="R123" i="444"/>
  <c r="T123" i="444" s="1"/>
  <c r="U123" i="444" s="1"/>
  <c r="V123" i="444" s="1"/>
  <c r="W123" i="444" s="1"/>
  <c r="G123" i="444"/>
  <c r="T122" i="444"/>
  <c r="U122" i="444" s="1"/>
  <c r="R122" i="444"/>
  <c r="S122" i="444" s="1"/>
  <c r="G122" i="444"/>
  <c r="T121" i="444"/>
  <c r="U121" i="444" s="1"/>
  <c r="V121" i="444" s="1"/>
  <c r="W121" i="444" s="1"/>
  <c r="S121" i="444"/>
  <c r="R121" i="444"/>
  <c r="G121" i="444"/>
  <c r="T120" i="444"/>
  <c r="U120" i="444" s="1"/>
  <c r="V120" i="444" s="1"/>
  <c r="W120" i="444" s="1"/>
  <c r="S120" i="444"/>
  <c r="R120" i="444"/>
  <c r="G120" i="444"/>
  <c r="S119" i="444"/>
  <c r="R119" i="444"/>
  <c r="T119" i="444" s="1"/>
  <c r="U119" i="444" s="1"/>
  <c r="G119" i="444"/>
  <c r="R118" i="444"/>
  <c r="S118" i="444" s="1"/>
  <c r="G118" i="444"/>
  <c r="T117" i="444"/>
  <c r="U117" i="444" s="1"/>
  <c r="R117" i="444"/>
  <c r="S117" i="444" s="1"/>
  <c r="G117" i="444"/>
  <c r="T116" i="444"/>
  <c r="U116" i="444" s="1"/>
  <c r="R116" i="444"/>
  <c r="S116" i="444" s="1"/>
  <c r="G116" i="444"/>
  <c r="S115" i="444"/>
  <c r="R115" i="444"/>
  <c r="T115" i="444" s="1"/>
  <c r="U115" i="444" s="1"/>
  <c r="V115" i="444" s="1"/>
  <c r="W115" i="444" s="1"/>
  <c r="G115" i="444"/>
  <c r="R114" i="444"/>
  <c r="T114" i="444" s="1"/>
  <c r="U114" i="444" s="1"/>
  <c r="G114" i="444"/>
  <c r="R113" i="444"/>
  <c r="T113" i="444" s="1"/>
  <c r="U113" i="444" s="1"/>
  <c r="G113" i="444"/>
  <c r="R112" i="444"/>
  <c r="T112" i="444" s="1"/>
  <c r="U112" i="444" s="1"/>
  <c r="G112" i="444"/>
  <c r="R111" i="444"/>
  <c r="T111" i="444" s="1"/>
  <c r="U111" i="444" s="1"/>
  <c r="G111" i="444"/>
  <c r="T110" i="444"/>
  <c r="U110" i="444" s="1"/>
  <c r="V110" i="444" s="1"/>
  <c r="S110" i="444"/>
  <c r="R110" i="444"/>
  <c r="G110" i="444"/>
  <c r="T109" i="444"/>
  <c r="U109" i="444" s="1"/>
  <c r="S109" i="444"/>
  <c r="R109" i="444"/>
  <c r="G109" i="444"/>
  <c r="R108" i="444"/>
  <c r="G108" i="444"/>
  <c r="T107" i="444"/>
  <c r="U107" i="444" s="1"/>
  <c r="R107" i="444"/>
  <c r="S107" i="444" s="1"/>
  <c r="G107" i="444"/>
  <c r="T106" i="444"/>
  <c r="U106" i="444" s="1"/>
  <c r="V106" i="444" s="1"/>
  <c r="W106" i="444" s="1"/>
  <c r="R106" i="444"/>
  <c r="S106" i="444" s="1"/>
  <c r="G106" i="444"/>
  <c r="T105" i="444"/>
  <c r="U105" i="444" s="1"/>
  <c r="S105" i="444"/>
  <c r="R105" i="444"/>
  <c r="G105" i="444"/>
  <c r="S104" i="444"/>
  <c r="R104" i="444"/>
  <c r="T104" i="444" s="1"/>
  <c r="U104" i="444" s="1"/>
  <c r="G104" i="444"/>
  <c r="S103" i="444"/>
  <c r="R103" i="444"/>
  <c r="T103" i="444" s="1"/>
  <c r="U103" i="444" s="1"/>
  <c r="G103" i="444"/>
  <c r="R102" i="444"/>
  <c r="S102" i="444" s="1"/>
  <c r="G102" i="444"/>
  <c r="T101" i="444"/>
  <c r="U101" i="444" s="1"/>
  <c r="S101" i="444"/>
  <c r="R101" i="444"/>
  <c r="G101" i="444"/>
  <c r="T100" i="444"/>
  <c r="U100" i="444" s="1"/>
  <c r="V100" i="444" s="1"/>
  <c r="W100" i="444" s="1"/>
  <c r="S100" i="444"/>
  <c r="R100" i="444"/>
  <c r="G100" i="444"/>
  <c r="S99" i="444"/>
  <c r="R99" i="444"/>
  <c r="T99" i="444" s="1"/>
  <c r="U99" i="444" s="1"/>
  <c r="G99" i="444"/>
  <c r="T98" i="444"/>
  <c r="U98" i="444" s="1"/>
  <c r="S98" i="444"/>
  <c r="R98" i="444"/>
  <c r="G98" i="444"/>
  <c r="T97" i="444"/>
  <c r="U97" i="444" s="1"/>
  <c r="R97" i="444"/>
  <c r="S97" i="444" s="1"/>
  <c r="G97" i="444"/>
  <c r="T96" i="444"/>
  <c r="U96" i="444" s="1"/>
  <c r="R96" i="444"/>
  <c r="S96" i="444" s="1"/>
  <c r="G96" i="444"/>
  <c r="R95" i="444"/>
  <c r="S95" i="444" s="1"/>
  <c r="G95" i="444"/>
  <c r="R94" i="444"/>
  <c r="T94" i="444" s="1"/>
  <c r="U94" i="444" s="1"/>
  <c r="G94" i="444"/>
  <c r="R93" i="444"/>
  <c r="T93" i="444" s="1"/>
  <c r="U93" i="444" s="1"/>
  <c r="G93" i="444"/>
  <c r="T92" i="444"/>
  <c r="U92" i="444" s="1"/>
  <c r="R92" i="444"/>
  <c r="S92" i="444" s="1"/>
  <c r="G92" i="444"/>
  <c r="S91" i="444"/>
  <c r="R91" i="444"/>
  <c r="T91" i="444" s="1"/>
  <c r="U91" i="444" s="1"/>
  <c r="G91" i="444"/>
  <c r="T90" i="444"/>
  <c r="U90" i="444" s="1"/>
  <c r="S90" i="444"/>
  <c r="R90" i="444"/>
  <c r="G90" i="444"/>
  <c r="T89" i="444"/>
  <c r="U89" i="444" s="1"/>
  <c r="S89" i="444"/>
  <c r="R89" i="444"/>
  <c r="G89" i="444"/>
  <c r="R88" i="444"/>
  <c r="G88" i="444"/>
  <c r="R87" i="444"/>
  <c r="S87" i="444" s="1"/>
  <c r="G87" i="444"/>
  <c r="T86" i="444"/>
  <c r="U86" i="444" s="1"/>
  <c r="V86" i="444" s="1"/>
  <c r="W86" i="444" s="1"/>
  <c r="R86" i="444"/>
  <c r="S86" i="444" s="1"/>
  <c r="G86" i="444"/>
  <c r="T85" i="444"/>
  <c r="U85" i="444" s="1"/>
  <c r="S85" i="444"/>
  <c r="R85" i="444"/>
  <c r="G85" i="444"/>
  <c r="R84" i="444"/>
  <c r="T84" i="444" s="1"/>
  <c r="U84" i="444" s="1"/>
  <c r="G84" i="444"/>
  <c r="S83" i="444"/>
  <c r="R83" i="444"/>
  <c r="T83" i="444" s="1"/>
  <c r="U83" i="444" s="1"/>
  <c r="V83" i="444" s="1"/>
  <c r="W83" i="444" s="1"/>
  <c r="G83" i="444"/>
  <c r="R82" i="444"/>
  <c r="S82" i="444" s="1"/>
  <c r="G82" i="444"/>
  <c r="R81" i="444"/>
  <c r="T81" i="444" s="1"/>
  <c r="U81" i="444" s="1"/>
  <c r="G81" i="444"/>
  <c r="T80" i="444"/>
  <c r="U80" i="444" s="1"/>
  <c r="V80" i="444" s="1"/>
  <c r="W80" i="444" s="1"/>
  <c r="S80" i="444"/>
  <c r="R80" i="444"/>
  <c r="G80" i="444"/>
  <c r="S79" i="444"/>
  <c r="R79" i="444"/>
  <c r="T79" i="444" s="1"/>
  <c r="U79" i="444" s="1"/>
  <c r="G79" i="444"/>
  <c r="T78" i="444"/>
  <c r="U78" i="444" s="1"/>
  <c r="S78" i="444"/>
  <c r="R78" i="444"/>
  <c r="G78" i="444"/>
  <c r="T77" i="444"/>
  <c r="U77" i="444" s="1"/>
  <c r="S77" i="444"/>
  <c r="R77" i="444"/>
  <c r="G77" i="444"/>
  <c r="T76" i="444"/>
  <c r="U76" i="444" s="1"/>
  <c r="R76" i="444"/>
  <c r="S76" i="444" s="1"/>
  <c r="G76" i="444"/>
  <c r="R75" i="444"/>
  <c r="S75" i="444" s="1"/>
  <c r="G75" i="444"/>
  <c r="R74" i="444"/>
  <c r="T74" i="444" s="1"/>
  <c r="U74" i="444" s="1"/>
  <c r="G74" i="444"/>
  <c r="S73" i="444"/>
  <c r="R73" i="444"/>
  <c r="T73" i="444" s="1"/>
  <c r="U73" i="444" s="1"/>
  <c r="G73" i="444"/>
  <c r="R72" i="444"/>
  <c r="T72" i="444" s="1"/>
  <c r="U72" i="444" s="1"/>
  <c r="G72" i="444"/>
  <c r="R71" i="444"/>
  <c r="T71" i="444" s="1"/>
  <c r="U71" i="444" s="1"/>
  <c r="G71" i="444"/>
  <c r="T70" i="444"/>
  <c r="U70" i="444" s="1"/>
  <c r="V70" i="444" s="1"/>
  <c r="W70" i="444" s="1"/>
  <c r="S70" i="444"/>
  <c r="R70" i="444"/>
  <c r="G70" i="444"/>
  <c r="T69" i="444"/>
  <c r="U69" i="444" s="1"/>
  <c r="S69" i="444"/>
  <c r="R69" i="444"/>
  <c r="G69" i="444"/>
  <c r="R68" i="444"/>
  <c r="G68" i="444"/>
  <c r="R67" i="444"/>
  <c r="S67" i="444" s="1"/>
  <c r="G67" i="444"/>
  <c r="R66" i="444"/>
  <c r="S66" i="444" s="1"/>
  <c r="G66" i="444"/>
  <c r="T65" i="444"/>
  <c r="U65" i="444" s="1"/>
  <c r="S65" i="444"/>
  <c r="R65" i="444"/>
  <c r="G65" i="444"/>
  <c r="R64" i="444"/>
  <c r="T64" i="444" s="1"/>
  <c r="U64" i="444" s="1"/>
  <c r="G64" i="444"/>
  <c r="R63" i="444"/>
  <c r="T63" i="444" s="1"/>
  <c r="U63" i="444" s="1"/>
  <c r="G63" i="444"/>
  <c r="T62" i="444"/>
  <c r="U62" i="444" s="1"/>
  <c r="R62" i="444"/>
  <c r="S62" i="444" s="1"/>
  <c r="G62" i="444"/>
  <c r="R61" i="444"/>
  <c r="T61" i="444" s="1"/>
  <c r="U61" i="444" s="1"/>
  <c r="G61" i="444"/>
  <c r="T60" i="444"/>
  <c r="U60" i="444" s="1"/>
  <c r="S60" i="444"/>
  <c r="R60" i="444"/>
  <c r="G60" i="444"/>
  <c r="S59" i="444"/>
  <c r="R59" i="444"/>
  <c r="T59" i="444" s="1"/>
  <c r="U59" i="444" s="1"/>
  <c r="G59" i="444"/>
  <c r="T58" i="444"/>
  <c r="U58" i="444" s="1"/>
  <c r="R58" i="444"/>
  <c r="S58" i="444" s="1"/>
  <c r="G58" i="444"/>
  <c r="T57" i="444"/>
  <c r="U57" i="444" s="1"/>
  <c r="S57" i="444"/>
  <c r="R57" i="444"/>
  <c r="G57" i="444"/>
  <c r="T56" i="444"/>
  <c r="U56" i="444" s="1"/>
  <c r="V56" i="444" s="1"/>
  <c r="W56" i="444" s="1"/>
  <c r="R56" i="444"/>
  <c r="S56" i="444" s="1"/>
  <c r="G56" i="444"/>
  <c r="R55" i="444"/>
  <c r="S55" i="444" s="1"/>
  <c r="G55" i="444"/>
  <c r="R54" i="444"/>
  <c r="T54" i="444" s="1"/>
  <c r="U54" i="444" s="1"/>
  <c r="G54" i="444"/>
  <c r="S53" i="444"/>
  <c r="R53" i="444"/>
  <c r="T53" i="444" s="1"/>
  <c r="U53" i="444" s="1"/>
  <c r="G53" i="444"/>
  <c r="R52" i="444"/>
  <c r="T52" i="444" s="1"/>
  <c r="U52" i="444" s="1"/>
  <c r="G52" i="444"/>
  <c r="R51" i="444"/>
  <c r="G51" i="444"/>
  <c r="T50" i="444"/>
  <c r="U50" i="444" s="1"/>
  <c r="S50" i="444"/>
  <c r="R50" i="444"/>
  <c r="G50" i="444"/>
  <c r="T49" i="444"/>
  <c r="U49" i="444" s="1"/>
  <c r="S49" i="444"/>
  <c r="R49" i="444"/>
  <c r="G49" i="444"/>
  <c r="R48" i="444"/>
  <c r="T48" i="444" s="1"/>
  <c r="U48" i="444" s="1"/>
  <c r="G48" i="444"/>
  <c r="T47" i="444"/>
  <c r="U47" i="444" s="1"/>
  <c r="R47" i="444"/>
  <c r="S47" i="444" s="1"/>
  <c r="G47" i="444"/>
  <c r="R46" i="444"/>
  <c r="S46" i="444" s="1"/>
  <c r="G46" i="444"/>
  <c r="T45" i="444"/>
  <c r="U45" i="444" s="1"/>
  <c r="S45" i="444"/>
  <c r="R45" i="444"/>
  <c r="G45" i="444"/>
  <c r="R44" i="444"/>
  <c r="T44" i="444" s="1"/>
  <c r="U44" i="444" s="1"/>
  <c r="G44" i="444"/>
  <c r="S43" i="444"/>
  <c r="R43" i="444"/>
  <c r="T43" i="444" s="1"/>
  <c r="U43" i="444" s="1"/>
  <c r="V43" i="444" s="1"/>
  <c r="W43" i="444" s="1"/>
  <c r="G43" i="444"/>
  <c r="R42" i="444"/>
  <c r="S42" i="444" s="1"/>
  <c r="G42" i="444"/>
  <c r="T41" i="444"/>
  <c r="U41" i="444" s="1"/>
  <c r="R41" i="444"/>
  <c r="S41" i="444" s="1"/>
  <c r="G41" i="444"/>
  <c r="T40" i="444"/>
  <c r="U40" i="444" s="1"/>
  <c r="S40" i="444"/>
  <c r="R40" i="444"/>
  <c r="G40" i="444"/>
  <c r="S39" i="444"/>
  <c r="R39" i="444"/>
  <c r="T39" i="444" s="1"/>
  <c r="U39" i="444" s="1"/>
  <c r="V39" i="444" s="1"/>
  <c r="W39" i="444" s="1"/>
  <c r="G39" i="444"/>
  <c r="S38" i="444"/>
  <c r="R38" i="444"/>
  <c r="T38" i="444" s="1"/>
  <c r="U38" i="444" s="1"/>
  <c r="G38" i="444"/>
  <c r="T37" i="444"/>
  <c r="U37" i="444" s="1"/>
  <c r="S37" i="444"/>
  <c r="R37" i="444"/>
  <c r="G37" i="444"/>
  <c r="R36" i="444"/>
  <c r="S36" i="444" s="1"/>
  <c r="G36" i="444"/>
  <c r="R35" i="444"/>
  <c r="T35" i="444" s="1"/>
  <c r="U35" i="444" s="1"/>
  <c r="G35" i="444"/>
  <c r="R34" i="444"/>
  <c r="T34" i="444" s="1"/>
  <c r="U34" i="444" s="1"/>
  <c r="G34" i="444"/>
  <c r="R33" i="444"/>
  <c r="T33" i="444" s="1"/>
  <c r="U33" i="444" s="1"/>
  <c r="G33" i="444"/>
  <c r="T32" i="444"/>
  <c r="U32" i="444" s="1"/>
  <c r="V32" i="444" s="1"/>
  <c r="W32" i="444" s="1"/>
  <c r="S32" i="444"/>
  <c r="R32" i="444"/>
  <c r="G32" i="444"/>
  <c r="R31" i="444"/>
  <c r="G31" i="444"/>
  <c r="T30" i="444"/>
  <c r="U30" i="444" s="1"/>
  <c r="S30" i="444"/>
  <c r="R30" i="444"/>
  <c r="G30" i="444"/>
  <c r="T29" i="444"/>
  <c r="U29" i="444" s="1"/>
  <c r="S29" i="444"/>
  <c r="R29" i="444"/>
  <c r="G29" i="444"/>
  <c r="S28" i="444"/>
  <c r="R28" i="444"/>
  <c r="T28" i="444" s="1"/>
  <c r="U28" i="444" s="1"/>
  <c r="G28" i="444"/>
  <c r="R27" i="444"/>
  <c r="S27" i="444" s="1"/>
  <c r="G27" i="444"/>
  <c r="R26" i="444"/>
  <c r="S26" i="444" s="1"/>
  <c r="G26" i="444"/>
  <c r="T25" i="444"/>
  <c r="U25" i="444" s="1"/>
  <c r="S25" i="444"/>
  <c r="R25" i="444"/>
  <c r="G25" i="444"/>
  <c r="S24" i="444"/>
  <c r="R24" i="444"/>
  <c r="T24" i="444" s="1"/>
  <c r="U24" i="444" s="1"/>
  <c r="V24" i="444" s="1"/>
  <c r="W24" i="444" s="1"/>
  <c r="G24" i="444"/>
  <c r="R23" i="444"/>
  <c r="T23" i="444" s="1"/>
  <c r="U23" i="444" s="1"/>
  <c r="G23" i="444"/>
  <c r="R22" i="444"/>
  <c r="S22" i="444" s="1"/>
  <c r="G22" i="444"/>
  <c r="R21" i="444"/>
  <c r="S21" i="444" s="1"/>
  <c r="G21" i="444"/>
  <c r="T20" i="444"/>
  <c r="U20" i="444" s="1"/>
  <c r="V20" i="444" s="1"/>
  <c r="W20" i="444" s="1"/>
  <c r="S20" i="444"/>
  <c r="R20" i="444"/>
  <c r="G20" i="444"/>
  <c r="S19" i="444"/>
  <c r="R19" i="444"/>
  <c r="T19" i="444" s="1"/>
  <c r="U19" i="444" s="1"/>
  <c r="G19" i="444"/>
  <c r="T18" i="444"/>
  <c r="U18" i="444" s="1"/>
  <c r="R18" i="444"/>
  <c r="S18" i="444" s="1"/>
  <c r="G18" i="444"/>
  <c r="T17" i="444"/>
  <c r="U17" i="444" s="1"/>
  <c r="S17" i="444"/>
  <c r="R17" i="444"/>
  <c r="G17" i="444"/>
  <c r="R16" i="444"/>
  <c r="S16" i="444" s="1"/>
  <c r="G16" i="444"/>
  <c r="R15" i="444"/>
  <c r="T15" i="444" s="1"/>
  <c r="U15" i="444" s="1"/>
  <c r="G15" i="444"/>
  <c r="R14" i="444"/>
  <c r="T14" i="444" s="1"/>
  <c r="U14" i="444" s="1"/>
  <c r="G14" i="444"/>
  <c r="S13" i="444"/>
  <c r="R13" i="444"/>
  <c r="T13" i="444" s="1"/>
  <c r="U13" i="444" s="1"/>
  <c r="G13" i="444"/>
  <c r="R12" i="444"/>
  <c r="T12" i="444" s="1"/>
  <c r="U12" i="444" s="1"/>
  <c r="G12" i="444"/>
  <c r="R11" i="444"/>
  <c r="G11" i="444"/>
  <c r="T10" i="444"/>
  <c r="U10" i="444" s="1"/>
  <c r="S10" i="444"/>
  <c r="R10" i="444"/>
  <c r="G10" i="444"/>
  <c r="T9" i="444"/>
  <c r="U9" i="444" s="1"/>
  <c r="V9" i="444" s="1"/>
  <c r="W9" i="444" s="1"/>
  <c r="S9" i="444"/>
  <c r="R9" i="444"/>
  <c r="G9" i="444"/>
  <c r="R8" i="444"/>
  <c r="T8" i="444" s="1"/>
  <c r="U8" i="444" s="1"/>
  <c r="G8" i="444"/>
  <c r="R7" i="444"/>
  <c r="S7" i="444" s="1"/>
  <c r="G7" i="444"/>
  <c r="R6" i="444"/>
  <c r="S6" i="444" s="1"/>
  <c r="G6" i="444"/>
  <c r="T5" i="444"/>
  <c r="U5" i="444" s="1"/>
  <c r="S5" i="444"/>
  <c r="R5" i="444"/>
  <c r="G5" i="444"/>
  <c r="R4" i="444"/>
  <c r="T4" i="444" s="1"/>
  <c r="U4" i="444" s="1"/>
  <c r="G4" i="444"/>
  <c r="S3" i="444"/>
  <c r="R3" i="444"/>
  <c r="T3" i="444" s="1"/>
  <c r="U3" i="444" s="1"/>
  <c r="G3" i="444"/>
  <c r="R2" i="444"/>
  <c r="S2" i="444" s="1"/>
  <c r="G2" i="444"/>
  <c r="C73" i="54"/>
  <c r="C72" i="54"/>
  <c r="C67" i="54"/>
  <c r="G54" i="54"/>
  <c r="E54" i="54"/>
  <c r="F53" i="54"/>
  <c r="F54" i="54" s="1"/>
  <c r="F52" i="54"/>
  <c r="I51" i="54"/>
  <c r="H51" i="54"/>
  <c r="J17" i="252" a="1"/>
  <c r="J10" i="252" a="1"/>
  <c r="J7" i="252" a="1"/>
  <c r="J8" i="252" a="1"/>
  <c r="J14" i="252" a="1"/>
  <c r="J15" i="252" a="1"/>
  <c r="J9" i="252" a="1"/>
  <c r="W10" i="252"/>
  <c r="T14" i="252"/>
  <c r="J13" i="252" a="1"/>
  <c r="J18" i="252" a="1"/>
  <c r="T11" i="252"/>
  <c r="T8" i="252"/>
  <c r="T18" i="252"/>
  <c r="J11" i="252" a="1"/>
  <c r="W14" i="252"/>
  <c r="J6" i="252" a="1"/>
  <c r="J16" i="252" a="1"/>
  <c r="T16" i="252"/>
  <c r="T19" i="252"/>
  <c r="T10" i="252"/>
  <c r="T17" i="252"/>
  <c r="J19" i="252" a="1"/>
  <c r="W17" i="252"/>
  <c r="W19" i="252"/>
  <c r="W18" i="252"/>
  <c r="J12" i="252" a="1"/>
  <c r="J20" i="252" a="1"/>
  <c r="W16" i="252"/>
  <c r="W8" i="252"/>
  <c r="W11" i="252"/>
  <c r="W20" i="252"/>
  <c r="W7" i="252"/>
  <c r="T20" i="252"/>
  <c r="T7" i="252"/>
  <c r="I50" i="54" a="1"/>
  <c r="S205" i="89" a="1"/>
  <c r="S205" i="89" l="1"/>
  <c r="J20" i="252"/>
  <c r="J12" i="252"/>
  <c r="J19" i="252"/>
  <c r="J16" i="252"/>
  <c r="J6" i="252"/>
  <c r="J11" i="252"/>
  <c r="J18" i="252"/>
  <c r="J13" i="252"/>
  <c r="J9" i="252"/>
  <c r="J15" i="252"/>
  <c r="J14" i="252"/>
  <c r="J8" i="252"/>
  <c r="J7" i="252"/>
  <c r="J10" i="252"/>
  <c r="J17" i="252"/>
  <c r="V30" i="444"/>
  <c r="W30" i="444" s="1"/>
  <c r="V142" i="444"/>
  <c r="W142" i="444" s="1"/>
  <c r="V96" i="444"/>
  <c r="W96" i="444" s="1"/>
  <c r="V40" i="444"/>
  <c r="W40" i="444" s="1"/>
  <c r="V49" i="444"/>
  <c r="W49" i="444" s="1"/>
  <c r="V162" i="444"/>
  <c r="W162" i="444" s="1"/>
  <c r="V10" i="444"/>
  <c r="W10" i="444" s="1"/>
  <c r="V60" i="444"/>
  <c r="W60" i="444" s="1"/>
  <c r="V101" i="444"/>
  <c r="W101" i="444" s="1"/>
  <c r="V76" i="444"/>
  <c r="W76" i="444" s="1"/>
  <c r="V116" i="444"/>
  <c r="W116" i="444" s="1"/>
  <c r="V122" i="444"/>
  <c r="W122" i="444" s="1"/>
  <c r="V41" i="444"/>
  <c r="W41" i="444" s="1"/>
  <c r="V90" i="444"/>
  <c r="W90" i="444" s="1"/>
  <c r="V29" i="444"/>
  <c r="W29" i="444" s="1"/>
  <c r="V85" i="444"/>
  <c r="W85" i="444" s="1"/>
  <c r="V50" i="444"/>
  <c r="W50" i="444" s="1"/>
  <c r="V105" i="444"/>
  <c r="W105" i="444" s="1"/>
  <c r="V145" i="444"/>
  <c r="W145" i="444" s="1"/>
  <c r="V92" i="444"/>
  <c r="W92" i="444" s="1"/>
  <c r="V125" i="444"/>
  <c r="W125" i="444" s="1"/>
  <c r="V18" i="444"/>
  <c r="W18" i="444" s="1"/>
  <c r="V117" i="444"/>
  <c r="W117" i="444" s="1"/>
  <c r="V58" i="444"/>
  <c r="W58" i="444" s="1"/>
  <c r="V137" i="444"/>
  <c r="W137" i="444" s="1"/>
  <c r="V25" i="444"/>
  <c r="W25" i="444" s="1"/>
  <c r="V65" i="444"/>
  <c r="W65" i="444" s="1"/>
  <c r="V149" i="444"/>
  <c r="W149" i="444" s="1"/>
  <c r="V144" i="444"/>
  <c r="W144" i="444" s="1"/>
  <c r="V13" i="444"/>
  <c r="W13" i="444" s="1"/>
  <c r="V165" i="444"/>
  <c r="W165" i="444" s="1"/>
  <c r="V135" i="444"/>
  <c r="W135" i="444" s="1"/>
  <c r="V126" i="444"/>
  <c r="W126" i="444" s="1"/>
  <c r="V160" i="444"/>
  <c r="W160" i="444" s="1"/>
  <c r="V141" i="444"/>
  <c r="W141" i="444" s="1"/>
  <c r="V3" i="444"/>
  <c r="W3" i="444" s="1"/>
  <c r="V28" i="444"/>
  <c r="W28" i="444" s="1"/>
  <c r="V97" i="444"/>
  <c r="W97" i="444" s="1"/>
  <c r="V89" i="444"/>
  <c r="W89" i="444" s="1"/>
  <c r="V45" i="444"/>
  <c r="W45" i="444" s="1"/>
  <c r="I50" i="54"/>
  <c r="H52" i="54" s="1"/>
  <c r="V103" i="444"/>
  <c r="W103" i="444" s="1"/>
  <c r="V104" i="444"/>
  <c r="W104" i="444" s="1"/>
  <c r="V19" i="444"/>
  <c r="W19" i="444" s="1"/>
  <c r="V132" i="444"/>
  <c r="W132" i="444" s="1"/>
  <c r="V69" i="444"/>
  <c r="W69" i="444" s="1"/>
  <c r="S128" i="444"/>
  <c r="T128" i="444"/>
  <c r="U128" i="444" s="1"/>
  <c r="V107" i="444"/>
  <c r="W107" i="444" s="1"/>
  <c r="S124" i="444"/>
  <c r="V124" i="444" s="1"/>
  <c r="W124" i="444" s="1"/>
  <c r="V129" i="444"/>
  <c r="W129" i="444" s="1"/>
  <c r="V147" i="444"/>
  <c r="W147" i="444" s="1"/>
  <c r="T152" i="444"/>
  <c r="U152" i="444" s="1"/>
  <c r="V152" i="444" s="1"/>
  <c r="W152" i="444" s="1"/>
  <c r="V158" i="444"/>
  <c r="W158" i="444" s="1"/>
  <c r="S51" i="444"/>
  <c r="T51" i="444"/>
  <c r="U51" i="444" s="1"/>
  <c r="T36" i="444"/>
  <c r="U36" i="444" s="1"/>
  <c r="V36" i="444" s="1"/>
  <c r="W36" i="444" s="1"/>
  <c r="S48" i="444"/>
  <c r="V48" i="444" s="1"/>
  <c r="W48" i="444" s="1"/>
  <c r="T55" i="444"/>
  <c r="U55" i="444" s="1"/>
  <c r="V55" i="444" s="1"/>
  <c r="W55" i="444" s="1"/>
  <c r="S44" i="444"/>
  <c r="V44" i="444" s="1"/>
  <c r="W44" i="444" s="1"/>
  <c r="S52" i="444"/>
  <c r="V52" i="444" s="1"/>
  <c r="W52" i="444" s="1"/>
  <c r="T75" i="444"/>
  <c r="U75" i="444" s="1"/>
  <c r="V75" i="444" s="1"/>
  <c r="W75" i="444" s="1"/>
  <c r="V91" i="444"/>
  <c r="W91" i="444" s="1"/>
  <c r="T95" i="444"/>
  <c r="U95" i="444" s="1"/>
  <c r="V95" i="444" s="1"/>
  <c r="W95" i="444" s="1"/>
  <c r="V99" i="444"/>
  <c r="W99" i="444" s="1"/>
  <c r="S112" i="444"/>
  <c r="V112" i="444" s="1"/>
  <c r="W112" i="444" s="1"/>
  <c r="V139" i="444"/>
  <c r="W139" i="444" s="1"/>
  <c r="S33" i="444"/>
  <c r="V33" i="444" s="1"/>
  <c r="W33" i="444" s="1"/>
  <c r="V37" i="444"/>
  <c r="W37" i="444" s="1"/>
  <c r="V79" i="444"/>
  <c r="W79" i="444" s="1"/>
  <c r="T87" i="444"/>
  <c r="U87" i="444" s="1"/>
  <c r="V87" i="444" s="1"/>
  <c r="W87" i="444" s="1"/>
  <c r="T102" i="444"/>
  <c r="U102" i="444" s="1"/>
  <c r="V102" i="444" s="1"/>
  <c r="W102" i="444" s="1"/>
  <c r="T82" i="444"/>
  <c r="U82" i="444" s="1"/>
  <c r="V82" i="444" s="1"/>
  <c r="W82" i="444" s="1"/>
  <c r="V59" i="444"/>
  <c r="W59" i="444" s="1"/>
  <c r="T7" i="444"/>
  <c r="U7" i="444" s="1"/>
  <c r="V7" i="444" s="1"/>
  <c r="W7" i="444" s="1"/>
  <c r="T11" i="444"/>
  <c r="U11" i="444" s="1"/>
  <c r="S11" i="444"/>
  <c r="T26" i="444"/>
  <c r="U26" i="444" s="1"/>
  <c r="V26" i="444" s="1"/>
  <c r="W26" i="444" s="1"/>
  <c r="T68" i="444"/>
  <c r="U68" i="444" s="1"/>
  <c r="S68" i="444"/>
  <c r="S72" i="444"/>
  <c r="V72" i="444" s="1"/>
  <c r="W72" i="444" s="1"/>
  <c r="S108" i="444"/>
  <c r="T108" i="444"/>
  <c r="U108" i="444" s="1"/>
  <c r="S63" i="444"/>
  <c r="V63" i="444" s="1"/>
  <c r="W63" i="444" s="1"/>
  <c r="T67" i="444"/>
  <c r="U67" i="444" s="1"/>
  <c r="V67" i="444" s="1"/>
  <c r="W67" i="444" s="1"/>
  <c r="S15" i="444"/>
  <c r="V15" i="444" s="1"/>
  <c r="W15" i="444" s="1"/>
  <c r="T22" i="444"/>
  <c r="U22" i="444" s="1"/>
  <c r="V22" i="444" s="1"/>
  <c r="W22" i="444" s="1"/>
  <c r="S64" i="444"/>
  <c r="V64" i="444" s="1"/>
  <c r="W64" i="444" s="1"/>
  <c r="V130" i="444"/>
  <c r="W130" i="444" s="1"/>
  <c r="V159" i="444"/>
  <c r="W159" i="444" s="1"/>
  <c r="S133" i="444"/>
  <c r="V133" i="444" s="1"/>
  <c r="W133" i="444" s="1"/>
  <c r="T2" i="444"/>
  <c r="U2" i="444" s="1"/>
  <c r="V2" i="444" s="1"/>
  <c r="W2" i="444" s="1"/>
  <c r="V78" i="444"/>
  <c r="W78" i="444" s="1"/>
  <c r="S84" i="444"/>
  <c r="V84" i="444" s="1"/>
  <c r="W84" i="444" s="1"/>
  <c r="V109" i="444"/>
  <c r="W109" i="444" s="1"/>
  <c r="S113" i="444"/>
  <c r="V113" i="444" s="1"/>
  <c r="W113" i="444" s="1"/>
  <c r="T136" i="444"/>
  <c r="U136" i="444" s="1"/>
  <c r="S136" i="444"/>
  <c r="T164" i="444"/>
  <c r="U164" i="444" s="1"/>
  <c r="S164" i="444"/>
  <c r="T21" i="444"/>
  <c r="U21" i="444" s="1"/>
  <c r="V21" i="444" s="1"/>
  <c r="W21" i="444" s="1"/>
  <c r="V53" i="444"/>
  <c r="W53" i="444" s="1"/>
  <c r="S155" i="444"/>
  <c r="V155" i="444" s="1"/>
  <c r="W155" i="444" s="1"/>
  <c r="T88" i="444"/>
  <c r="U88" i="444" s="1"/>
  <c r="S88" i="444"/>
  <c r="V77" i="444"/>
  <c r="W77" i="444" s="1"/>
  <c r="V17" i="444"/>
  <c r="W17" i="444" s="1"/>
  <c r="T153" i="444"/>
  <c r="U153" i="444" s="1"/>
  <c r="S153" i="444"/>
  <c r="V38" i="444"/>
  <c r="W38" i="444" s="1"/>
  <c r="S61" i="444"/>
  <c r="V61" i="444" s="1"/>
  <c r="W61" i="444" s="1"/>
  <c r="S35" i="444"/>
  <c r="V35" i="444" s="1"/>
  <c r="W35" i="444" s="1"/>
  <c r="T42" i="444"/>
  <c r="U42" i="444" s="1"/>
  <c r="V42" i="444" s="1"/>
  <c r="W42" i="444" s="1"/>
  <c r="S81" i="444"/>
  <c r="V81" i="444" s="1"/>
  <c r="W81" i="444" s="1"/>
  <c r="S93" i="444"/>
  <c r="V93" i="444" s="1"/>
  <c r="W93" i="444" s="1"/>
  <c r="V150" i="444"/>
  <c r="W150" i="444" s="1"/>
  <c r="S148" i="444"/>
  <c r="T148" i="444"/>
  <c r="U148" i="444" s="1"/>
  <c r="V57" i="444"/>
  <c r="W57" i="444" s="1"/>
  <c r="S8" i="444"/>
  <c r="V8" i="444" s="1"/>
  <c r="W8" i="444" s="1"/>
  <c r="S12" i="444"/>
  <c r="V12" i="444" s="1"/>
  <c r="W12" i="444" s="1"/>
  <c r="S23" i="444"/>
  <c r="V23" i="444" s="1"/>
  <c r="W23" i="444" s="1"/>
  <c r="T46" i="444"/>
  <c r="U46" i="444" s="1"/>
  <c r="V46" i="444" s="1"/>
  <c r="W46" i="444" s="1"/>
  <c r="T127" i="444"/>
  <c r="U127" i="444" s="1"/>
  <c r="V127" i="444" s="1"/>
  <c r="W127" i="444" s="1"/>
  <c r="S4" i="444"/>
  <c r="V4" i="444" s="1"/>
  <c r="W4" i="444" s="1"/>
  <c r="T118" i="444"/>
  <c r="U118" i="444" s="1"/>
  <c r="V118" i="444" s="1"/>
  <c r="W118" i="444" s="1"/>
  <c r="T27" i="444"/>
  <c r="U27" i="444" s="1"/>
  <c r="V27" i="444" s="1"/>
  <c r="W27" i="444" s="1"/>
  <c r="S31" i="444"/>
  <c r="T31" i="444"/>
  <c r="U31" i="444" s="1"/>
  <c r="T16" i="444"/>
  <c r="U16" i="444" s="1"/>
  <c r="V16" i="444" s="1"/>
  <c r="W16" i="444" s="1"/>
  <c r="V73" i="444"/>
  <c r="W73" i="444" s="1"/>
  <c r="V5" i="444"/>
  <c r="W5" i="444" s="1"/>
  <c r="T66" i="444"/>
  <c r="U66" i="444" s="1"/>
  <c r="V66" i="444" s="1"/>
  <c r="W66" i="444" s="1"/>
  <c r="V119" i="444"/>
  <c r="W119" i="444" s="1"/>
  <c r="T6" i="444"/>
  <c r="U6" i="444" s="1"/>
  <c r="V6" i="444" s="1"/>
  <c r="W6" i="444" s="1"/>
  <c r="V47" i="444"/>
  <c r="W47" i="444" s="1"/>
  <c r="V62" i="444"/>
  <c r="W62" i="444" s="1"/>
  <c r="V98" i="444"/>
  <c r="W98" i="444" s="1"/>
  <c r="W110" i="444"/>
  <c r="V138" i="444"/>
  <c r="W138" i="444" s="1"/>
  <c r="S156" i="444"/>
  <c r="V156" i="444" s="1"/>
  <c r="W156" i="444" s="1"/>
  <c r="S71" i="444"/>
  <c r="V71" i="444" s="1"/>
  <c r="W71" i="444" s="1"/>
  <c r="S111" i="444"/>
  <c r="V111" i="444" s="1"/>
  <c r="W111" i="444" s="1"/>
  <c r="S131" i="444"/>
  <c r="V131" i="444" s="1"/>
  <c r="W131" i="444" s="1"/>
  <c r="S151" i="444"/>
  <c r="V151" i="444" s="1"/>
  <c r="W151" i="444" s="1"/>
  <c r="S14" i="444"/>
  <c r="V14" i="444" s="1"/>
  <c r="W14" i="444" s="1"/>
  <c r="S34" i="444"/>
  <c r="V34" i="444" s="1"/>
  <c r="W34" i="444" s="1"/>
  <c r="S54" i="444"/>
  <c r="V54" i="444" s="1"/>
  <c r="W54" i="444" s="1"/>
  <c r="S74" i="444"/>
  <c r="V74" i="444" s="1"/>
  <c r="W74" i="444" s="1"/>
  <c r="S94" i="444"/>
  <c r="V94" i="444" s="1"/>
  <c r="W94" i="444" s="1"/>
  <c r="S114" i="444"/>
  <c r="V114" i="444" s="1"/>
  <c r="W114" i="444" s="1"/>
  <c r="S134" i="444"/>
  <c r="V134" i="444" s="1"/>
  <c r="W134" i="444" s="1"/>
  <c r="S154" i="444"/>
  <c r="V154" i="444" s="1"/>
  <c r="W154" i="444" s="1"/>
  <c r="S157" i="444"/>
  <c r="V157" i="444" s="1"/>
  <c r="W157" i="444" s="1"/>
  <c r="C43" i="54"/>
  <c r="C45" i="54" s="1"/>
  <c r="D45" i="54" s="1"/>
  <c r="F41" i="54"/>
  <c r="C36" i="54"/>
  <c r="C38" i="54" s="1"/>
  <c r="D38" i="54" s="1"/>
  <c r="I31" i="54"/>
  <c r="I32" i="54" s="1"/>
  <c r="I30" i="54"/>
  <c r="C29" i="54"/>
  <c r="C31" i="54" s="1"/>
  <c r="D31" i="54" s="1"/>
  <c r="E23" i="54"/>
  <c r="I22" i="54"/>
  <c r="K21" i="54"/>
  <c r="K19" i="54"/>
  <c r="E18" i="54"/>
  <c r="E17" i="54"/>
  <c r="G14" i="54"/>
  <c r="H14" i="54" s="1"/>
  <c r="G13" i="54"/>
  <c r="H13" i="54" s="1"/>
  <c r="G12" i="54"/>
  <c r="H12" i="54" s="1"/>
  <c r="G11" i="54"/>
  <c r="H11" i="54" s="1"/>
  <c r="G10" i="54"/>
  <c r="H10" i="54" s="1"/>
  <c r="G9" i="54"/>
  <c r="H9" i="54" s="1"/>
  <c r="C3" i="54"/>
  <c r="D3" i="54" s="1"/>
  <c r="D2" i="54"/>
  <c r="B2" i="383"/>
  <c r="B3" i="383" s="1"/>
  <c r="E151" i="415"/>
  <c r="D151" i="415"/>
  <c r="C151" i="415"/>
  <c r="E150" i="415"/>
  <c r="D150" i="415"/>
  <c r="C150" i="415"/>
  <c r="E149" i="415"/>
  <c r="D149" i="415"/>
  <c r="C149" i="415"/>
  <c r="E148" i="415"/>
  <c r="D148" i="415"/>
  <c r="C148" i="415"/>
  <c r="E147" i="415"/>
  <c r="D147" i="415"/>
  <c r="C147" i="415"/>
  <c r="E146" i="415"/>
  <c r="D146" i="415"/>
  <c r="C146" i="415"/>
  <c r="E145" i="415"/>
  <c r="D145" i="415"/>
  <c r="C145" i="415"/>
  <c r="E144" i="415"/>
  <c r="D144" i="415"/>
  <c r="C144" i="415"/>
  <c r="E143" i="415"/>
  <c r="D143" i="415"/>
  <c r="C143" i="415"/>
  <c r="E142" i="415"/>
  <c r="D142" i="415"/>
  <c r="C142" i="415"/>
  <c r="E141" i="415"/>
  <c r="D141" i="415"/>
  <c r="C141" i="415"/>
  <c r="E140" i="415"/>
  <c r="D140" i="415"/>
  <c r="C140" i="415"/>
  <c r="E139" i="415"/>
  <c r="D139" i="415"/>
  <c r="C139" i="415"/>
  <c r="E138" i="415"/>
  <c r="D138" i="415"/>
  <c r="C138" i="415"/>
  <c r="E137" i="415"/>
  <c r="D137" i="415"/>
  <c r="C137" i="415"/>
  <c r="E136" i="415"/>
  <c r="D136" i="415"/>
  <c r="C136" i="415"/>
  <c r="E135" i="415"/>
  <c r="D135" i="415"/>
  <c r="C135" i="415"/>
  <c r="E134" i="415"/>
  <c r="D134" i="415"/>
  <c r="C134" i="415"/>
  <c r="E133" i="415"/>
  <c r="D133" i="415"/>
  <c r="C133" i="415"/>
  <c r="E132" i="415"/>
  <c r="D132" i="415"/>
  <c r="C132" i="415"/>
  <c r="E131" i="415"/>
  <c r="D131" i="415"/>
  <c r="C131" i="415"/>
  <c r="E130" i="415"/>
  <c r="D130" i="415"/>
  <c r="C130" i="415"/>
  <c r="E129" i="415"/>
  <c r="D129" i="415"/>
  <c r="C129" i="415"/>
  <c r="E128" i="415"/>
  <c r="D128" i="415"/>
  <c r="C128" i="415"/>
  <c r="E127" i="415"/>
  <c r="D127" i="415"/>
  <c r="C127" i="415"/>
  <c r="E126" i="415"/>
  <c r="D126" i="415"/>
  <c r="C126" i="415"/>
  <c r="E125" i="415"/>
  <c r="D125" i="415"/>
  <c r="C125" i="415"/>
  <c r="E124" i="415"/>
  <c r="D124" i="415"/>
  <c r="C124" i="415"/>
  <c r="E123" i="415"/>
  <c r="D123" i="415"/>
  <c r="C123" i="415"/>
  <c r="E122" i="415"/>
  <c r="D122" i="415"/>
  <c r="C122" i="415"/>
  <c r="E121" i="415"/>
  <c r="D121" i="415"/>
  <c r="C121" i="415"/>
  <c r="E120" i="415"/>
  <c r="D120" i="415"/>
  <c r="C120" i="415"/>
  <c r="E119" i="415"/>
  <c r="D119" i="415"/>
  <c r="C119" i="415"/>
  <c r="E118" i="415"/>
  <c r="D118" i="415"/>
  <c r="C118" i="415"/>
  <c r="E117" i="415"/>
  <c r="D117" i="415"/>
  <c r="C117" i="415"/>
  <c r="E116" i="415"/>
  <c r="D116" i="415"/>
  <c r="C116" i="415"/>
  <c r="E115" i="415"/>
  <c r="D115" i="415"/>
  <c r="C115" i="415"/>
  <c r="E114" i="415"/>
  <c r="D114" i="415"/>
  <c r="C114" i="415"/>
  <c r="E113" i="415"/>
  <c r="D113" i="415"/>
  <c r="C113" i="415"/>
  <c r="E112" i="415"/>
  <c r="D112" i="415"/>
  <c r="C112" i="415"/>
  <c r="E111" i="415"/>
  <c r="D111" i="415"/>
  <c r="C111" i="415"/>
  <c r="E110" i="415"/>
  <c r="D110" i="415"/>
  <c r="C110" i="415"/>
  <c r="E109" i="415"/>
  <c r="D109" i="415"/>
  <c r="C109" i="415"/>
  <c r="E108" i="415"/>
  <c r="D108" i="415"/>
  <c r="C108" i="415"/>
  <c r="E107" i="415"/>
  <c r="D107" i="415"/>
  <c r="C107" i="415"/>
  <c r="E106" i="415"/>
  <c r="D106" i="415"/>
  <c r="C106" i="415"/>
  <c r="E105" i="415"/>
  <c r="D105" i="415"/>
  <c r="C105" i="415"/>
  <c r="E104" i="415"/>
  <c r="D104" i="415"/>
  <c r="C104" i="415"/>
  <c r="E103" i="415"/>
  <c r="D103" i="415"/>
  <c r="C103" i="415"/>
  <c r="E102" i="415"/>
  <c r="D102" i="415"/>
  <c r="C102" i="415"/>
  <c r="E101" i="415"/>
  <c r="D101" i="415"/>
  <c r="C101" i="415"/>
  <c r="E100" i="415"/>
  <c r="D100" i="415"/>
  <c r="C100" i="415"/>
  <c r="E99" i="415"/>
  <c r="D99" i="415"/>
  <c r="C99" i="415"/>
  <c r="E98" i="415"/>
  <c r="D98" i="415"/>
  <c r="C98" i="415"/>
  <c r="E97" i="415"/>
  <c r="D97" i="415"/>
  <c r="C97" i="415"/>
  <c r="E96" i="415"/>
  <c r="D96" i="415"/>
  <c r="C96" i="415"/>
  <c r="E95" i="415"/>
  <c r="D95" i="415"/>
  <c r="C95" i="415"/>
  <c r="E94" i="415"/>
  <c r="D94" i="415"/>
  <c r="C94" i="415"/>
  <c r="E93" i="415"/>
  <c r="D93" i="415"/>
  <c r="C93" i="415"/>
  <c r="E92" i="415"/>
  <c r="D92" i="415"/>
  <c r="C92" i="415"/>
  <c r="E91" i="415"/>
  <c r="D91" i="415"/>
  <c r="C91" i="415"/>
  <c r="E90" i="415"/>
  <c r="D90" i="415"/>
  <c r="C90" i="415"/>
  <c r="E89" i="415"/>
  <c r="D89" i="415"/>
  <c r="C89" i="415"/>
  <c r="E88" i="415"/>
  <c r="D88" i="415"/>
  <c r="C88" i="415"/>
  <c r="E87" i="415"/>
  <c r="D87" i="415"/>
  <c r="C87" i="415"/>
  <c r="E86" i="415"/>
  <c r="D86" i="415"/>
  <c r="C86" i="415"/>
  <c r="E85" i="415"/>
  <c r="D85" i="415"/>
  <c r="C85" i="415"/>
  <c r="E84" i="415"/>
  <c r="D84" i="415"/>
  <c r="C84" i="415"/>
  <c r="E83" i="415"/>
  <c r="D83" i="415"/>
  <c r="C83" i="415"/>
  <c r="E82" i="415"/>
  <c r="D82" i="415"/>
  <c r="C82" i="415"/>
  <c r="E81" i="415"/>
  <c r="D81" i="415"/>
  <c r="C81" i="415"/>
  <c r="E80" i="415"/>
  <c r="D80" i="415"/>
  <c r="C80" i="415"/>
  <c r="E79" i="415"/>
  <c r="D79" i="415"/>
  <c r="C79" i="415"/>
  <c r="E78" i="415"/>
  <c r="D78" i="415"/>
  <c r="C78" i="415"/>
  <c r="E77" i="415"/>
  <c r="D77" i="415"/>
  <c r="C77" i="415"/>
  <c r="E76" i="415"/>
  <c r="D76" i="415"/>
  <c r="C76" i="415"/>
  <c r="E75" i="415"/>
  <c r="D75" i="415"/>
  <c r="C75" i="415"/>
  <c r="E74" i="415"/>
  <c r="D74" i="415"/>
  <c r="C74" i="415"/>
  <c r="E73" i="415"/>
  <c r="D73" i="415"/>
  <c r="C73" i="415"/>
  <c r="E72" i="415"/>
  <c r="D72" i="415"/>
  <c r="C72" i="415"/>
  <c r="E71" i="415"/>
  <c r="D71" i="415"/>
  <c r="C71" i="415"/>
  <c r="E70" i="415"/>
  <c r="D70" i="415"/>
  <c r="C70" i="415"/>
  <c r="E69" i="415"/>
  <c r="D69" i="415"/>
  <c r="C69" i="415"/>
  <c r="E68" i="415"/>
  <c r="D68" i="415"/>
  <c r="C68" i="415"/>
  <c r="E67" i="415"/>
  <c r="D67" i="415"/>
  <c r="C67" i="415"/>
  <c r="E66" i="415"/>
  <c r="D66" i="415"/>
  <c r="C66" i="415"/>
  <c r="E65" i="415"/>
  <c r="D65" i="415"/>
  <c r="C65" i="415"/>
  <c r="E64" i="415"/>
  <c r="D64" i="415"/>
  <c r="C64" i="415"/>
  <c r="E63" i="415"/>
  <c r="D63" i="415"/>
  <c r="C63" i="415"/>
  <c r="E62" i="415"/>
  <c r="D62" i="415"/>
  <c r="C62" i="415"/>
  <c r="E61" i="415"/>
  <c r="D61" i="415"/>
  <c r="C61" i="415"/>
  <c r="E60" i="415"/>
  <c r="D60" i="415"/>
  <c r="C60" i="415"/>
  <c r="E59" i="415"/>
  <c r="D59" i="415"/>
  <c r="C59" i="415"/>
  <c r="E58" i="415"/>
  <c r="D58" i="415"/>
  <c r="C58" i="415"/>
  <c r="E57" i="415"/>
  <c r="D57" i="415"/>
  <c r="C57" i="415"/>
  <c r="E56" i="415"/>
  <c r="D56" i="415"/>
  <c r="C56" i="415"/>
  <c r="E55" i="415"/>
  <c r="D55" i="415"/>
  <c r="C55" i="415"/>
  <c r="D45" i="415"/>
  <c r="E45" i="415" s="1"/>
  <c r="C45" i="415"/>
  <c r="E44" i="415"/>
  <c r="D44" i="415"/>
  <c r="C44" i="415"/>
  <c r="E43" i="415"/>
  <c r="D43" i="415"/>
  <c r="C43" i="415"/>
  <c r="D42" i="415"/>
  <c r="E42" i="415" s="1"/>
  <c r="C42" i="415"/>
  <c r="C32" i="415"/>
  <c r="D17" i="415"/>
  <c r="C17" i="415"/>
  <c r="E17" i="415" s="1"/>
  <c r="D16" i="415"/>
  <c r="C16" i="415"/>
  <c r="E16" i="415" s="1"/>
  <c r="E15" i="415"/>
  <c r="D15" i="415"/>
  <c r="C15" i="415"/>
  <c r="D14" i="415"/>
  <c r="C14" i="415"/>
  <c r="E14" i="415" s="1"/>
  <c r="D13" i="415"/>
  <c r="C13" i="415"/>
  <c r="E13" i="415" s="1"/>
  <c r="D12" i="415"/>
  <c r="C12" i="415"/>
  <c r="E12" i="415" s="1"/>
  <c r="D11" i="415"/>
  <c r="C11" i="415"/>
  <c r="E11" i="415" s="1"/>
  <c r="D10" i="415"/>
  <c r="E10" i="415" s="1"/>
  <c r="C10" i="415"/>
  <c r="O512" i="414"/>
  <c r="N512" i="414"/>
  <c r="M512" i="414"/>
  <c r="L512" i="414"/>
  <c r="K512" i="414"/>
  <c r="O511" i="414"/>
  <c r="N511" i="414"/>
  <c r="M511" i="414"/>
  <c r="L511" i="414"/>
  <c r="K511" i="414"/>
  <c r="O510" i="414"/>
  <c r="N510" i="414"/>
  <c r="M510" i="414"/>
  <c r="L510" i="414"/>
  <c r="K510" i="414"/>
  <c r="O509" i="414"/>
  <c r="N509" i="414"/>
  <c r="M509" i="414"/>
  <c r="L509" i="414"/>
  <c r="K509" i="414"/>
  <c r="O508" i="414"/>
  <c r="N508" i="414"/>
  <c r="M508" i="414"/>
  <c r="L508" i="414"/>
  <c r="K508" i="414"/>
  <c r="O507" i="414"/>
  <c r="N507" i="414"/>
  <c r="M507" i="414"/>
  <c r="L507" i="414"/>
  <c r="K507" i="414"/>
  <c r="O506" i="414"/>
  <c r="N506" i="414"/>
  <c r="M506" i="414"/>
  <c r="L506" i="414"/>
  <c r="K506" i="414"/>
  <c r="O505" i="414"/>
  <c r="N505" i="414"/>
  <c r="M505" i="414"/>
  <c r="L505" i="414"/>
  <c r="K505" i="414"/>
  <c r="O504" i="414"/>
  <c r="N504" i="414"/>
  <c r="M504" i="414"/>
  <c r="L504" i="414"/>
  <c r="K504" i="414"/>
  <c r="O503" i="414"/>
  <c r="N503" i="414"/>
  <c r="M503" i="414"/>
  <c r="L503" i="414"/>
  <c r="K503" i="414"/>
  <c r="O502" i="414"/>
  <c r="N502" i="414"/>
  <c r="M502" i="414"/>
  <c r="L502" i="414"/>
  <c r="K502" i="414"/>
  <c r="O501" i="414"/>
  <c r="N501" i="414"/>
  <c r="M501" i="414"/>
  <c r="L501" i="414"/>
  <c r="K501" i="414"/>
  <c r="O500" i="414"/>
  <c r="N500" i="414"/>
  <c r="M500" i="414"/>
  <c r="L500" i="414"/>
  <c r="K500" i="414"/>
  <c r="O499" i="414"/>
  <c r="N499" i="414"/>
  <c r="M499" i="414"/>
  <c r="L499" i="414"/>
  <c r="K499" i="414"/>
  <c r="O498" i="414"/>
  <c r="N498" i="414"/>
  <c r="M498" i="414"/>
  <c r="L498" i="414"/>
  <c r="K498" i="414"/>
  <c r="O497" i="414"/>
  <c r="N497" i="414"/>
  <c r="M497" i="414"/>
  <c r="L497" i="414"/>
  <c r="K497" i="414"/>
  <c r="O496" i="414"/>
  <c r="N496" i="414"/>
  <c r="M496" i="414"/>
  <c r="L496" i="414"/>
  <c r="K496" i="414"/>
  <c r="O495" i="414"/>
  <c r="N495" i="414"/>
  <c r="M495" i="414"/>
  <c r="L495" i="414"/>
  <c r="K495" i="414"/>
  <c r="O494" i="414"/>
  <c r="N494" i="414"/>
  <c r="M494" i="414"/>
  <c r="L494" i="414"/>
  <c r="K494" i="414"/>
  <c r="O493" i="414"/>
  <c r="N493" i="414"/>
  <c r="M493" i="414"/>
  <c r="L493" i="414"/>
  <c r="K493" i="414"/>
  <c r="O492" i="414"/>
  <c r="N492" i="414"/>
  <c r="M492" i="414"/>
  <c r="L492" i="414"/>
  <c r="K492" i="414"/>
  <c r="O491" i="414"/>
  <c r="N491" i="414"/>
  <c r="M491" i="414"/>
  <c r="L491" i="414"/>
  <c r="K491" i="414"/>
  <c r="O490" i="414"/>
  <c r="N490" i="414"/>
  <c r="M490" i="414"/>
  <c r="L490" i="414"/>
  <c r="K490" i="414"/>
  <c r="O489" i="414"/>
  <c r="N489" i="414"/>
  <c r="M489" i="414"/>
  <c r="L489" i="414"/>
  <c r="K489" i="414"/>
  <c r="O488" i="414"/>
  <c r="N488" i="414"/>
  <c r="M488" i="414"/>
  <c r="L488" i="414"/>
  <c r="K488" i="414"/>
  <c r="O487" i="414"/>
  <c r="N487" i="414"/>
  <c r="M487" i="414"/>
  <c r="L487" i="414"/>
  <c r="K487" i="414"/>
  <c r="O486" i="414"/>
  <c r="N486" i="414"/>
  <c r="M486" i="414"/>
  <c r="L486" i="414"/>
  <c r="K486" i="414"/>
  <c r="O485" i="414"/>
  <c r="N485" i="414"/>
  <c r="M485" i="414"/>
  <c r="L485" i="414"/>
  <c r="K485" i="414"/>
  <c r="O484" i="414"/>
  <c r="N484" i="414"/>
  <c r="M484" i="414"/>
  <c r="L484" i="414"/>
  <c r="K484" i="414"/>
  <c r="O483" i="414"/>
  <c r="N483" i="414"/>
  <c r="M483" i="414"/>
  <c r="L483" i="414"/>
  <c r="K483" i="414"/>
  <c r="O482" i="414"/>
  <c r="N482" i="414"/>
  <c r="M482" i="414"/>
  <c r="L482" i="414"/>
  <c r="K482" i="414"/>
  <c r="O481" i="414"/>
  <c r="N481" i="414"/>
  <c r="M481" i="414"/>
  <c r="L481" i="414"/>
  <c r="K481" i="414"/>
  <c r="O480" i="414"/>
  <c r="N480" i="414"/>
  <c r="M480" i="414"/>
  <c r="L480" i="414"/>
  <c r="K480" i="414"/>
  <c r="O479" i="414"/>
  <c r="N479" i="414"/>
  <c r="M479" i="414"/>
  <c r="L479" i="414"/>
  <c r="K479" i="414"/>
  <c r="O478" i="414"/>
  <c r="N478" i="414"/>
  <c r="M478" i="414"/>
  <c r="L478" i="414"/>
  <c r="K478" i="414"/>
  <c r="O477" i="414"/>
  <c r="N477" i="414"/>
  <c r="M477" i="414"/>
  <c r="L477" i="414"/>
  <c r="K477" i="414"/>
  <c r="O476" i="414"/>
  <c r="N476" i="414"/>
  <c r="M476" i="414"/>
  <c r="L476" i="414"/>
  <c r="K476" i="414"/>
  <c r="O475" i="414"/>
  <c r="N475" i="414"/>
  <c r="M475" i="414"/>
  <c r="L475" i="414"/>
  <c r="K475" i="414"/>
  <c r="O474" i="414"/>
  <c r="N474" i="414"/>
  <c r="M474" i="414"/>
  <c r="L474" i="414"/>
  <c r="K474" i="414"/>
  <c r="O473" i="414"/>
  <c r="N473" i="414"/>
  <c r="M473" i="414"/>
  <c r="L473" i="414"/>
  <c r="K473" i="414"/>
  <c r="O472" i="414"/>
  <c r="N472" i="414"/>
  <c r="M472" i="414"/>
  <c r="L472" i="414"/>
  <c r="K472" i="414"/>
  <c r="O471" i="414"/>
  <c r="N471" i="414"/>
  <c r="M471" i="414"/>
  <c r="L471" i="414"/>
  <c r="K471" i="414"/>
  <c r="O470" i="414"/>
  <c r="N470" i="414"/>
  <c r="M470" i="414"/>
  <c r="L470" i="414"/>
  <c r="K470" i="414"/>
  <c r="O469" i="414"/>
  <c r="N469" i="414"/>
  <c r="M469" i="414"/>
  <c r="L469" i="414"/>
  <c r="K469" i="414"/>
  <c r="O468" i="414"/>
  <c r="N468" i="414"/>
  <c r="M468" i="414"/>
  <c r="L468" i="414"/>
  <c r="K468" i="414"/>
  <c r="O467" i="414"/>
  <c r="N467" i="414"/>
  <c r="M467" i="414"/>
  <c r="L467" i="414"/>
  <c r="K467" i="414"/>
  <c r="O466" i="414"/>
  <c r="N466" i="414"/>
  <c r="M466" i="414"/>
  <c r="L466" i="414"/>
  <c r="K466" i="414"/>
  <c r="O465" i="414"/>
  <c r="N465" i="414"/>
  <c r="M465" i="414"/>
  <c r="L465" i="414"/>
  <c r="K465" i="414"/>
  <c r="O464" i="414"/>
  <c r="N464" i="414"/>
  <c r="M464" i="414"/>
  <c r="L464" i="414"/>
  <c r="K464" i="414"/>
  <c r="O463" i="414"/>
  <c r="N463" i="414"/>
  <c r="M463" i="414"/>
  <c r="L463" i="414"/>
  <c r="K463" i="414"/>
  <c r="O462" i="414"/>
  <c r="N462" i="414"/>
  <c r="M462" i="414"/>
  <c r="L462" i="414"/>
  <c r="K462" i="414"/>
  <c r="O461" i="414"/>
  <c r="N461" i="414"/>
  <c r="M461" i="414"/>
  <c r="L461" i="414"/>
  <c r="K461" i="414"/>
  <c r="O460" i="414"/>
  <c r="N460" i="414"/>
  <c r="M460" i="414"/>
  <c r="L460" i="414"/>
  <c r="K460" i="414"/>
  <c r="O459" i="414"/>
  <c r="N459" i="414"/>
  <c r="M459" i="414"/>
  <c r="L459" i="414"/>
  <c r="K459" i="414"/>
  <c r="O458" i="414"/>
  <c r="N458" i="414"/>
  <c r="M458" i="414"/>
  <c r="L458" i="414"/>
  <c r="K458" i="414"/>
  <c r="O457" i="414"/>
  <c r="N457" i="414"/>
  <c r="M457" i="414"/>
  <c r="L457" i="414"/>
  <c r="K457" i="414"/>
  <c r="O456" i="414"/>
  <c r="N456" i="414"/>
  <c r="M456" i="414"/>
  <c r="L456" i="414"/>
  <c r="K456" i="414"/>
  <c r="O455" i="414"/>
  <c r="N455" i="414"/>
  <c r="M455" i="414"/>
  <c r="L455" i="414"/>
  <c r="K455" i="414"/>
  <c r="O454" i="414"/>
  <c r="N454" i="414"/>
  <c r="M454" i="414"/>
  <c r="L454" i="414"/>
  <c r="K454" i="414"/>
  <c r="O453" i="414"/>
  <c r="N453" i="414"/>
  <c r="M453" i="414"/>
  <c r="L453" i="414"/>
  <c r="K453" i="414"/>
  <c r="O452" i="414"/>
  <c r="N452" i="414"/>
  <c r="M452" i="414"/>
  <c r="L452" i="414"/>
  <c r="K452" i="414"/>
  <c r="O451" i="414"/>
  <c r="N451" i="414"/>
  <c r="M451" i="414"/>
  <c r="L451" i="414"/>
  <c r="K451" i="414"/>
  <c r="O450" i="414"/>
  <c r="N450" i="414"/>
  <c r="M450" i="414"/>
  <c r="L450" i="414"/>
  <c r="K450" i="414"/>
  <c r="O449" i="414"/>
  <c r="N449" i="414"/>
  <c r="M449" i="414"/>
  <c r="L449" i="414"/>
  <c r="K449" i="414"/>
  <c r="O448" i="414"/>
  <c r="N448" i="414"/>
  <c r="M448" i="414"/>
  <c r="L448" i="414"/>
  <c r="K448" i="414"/>
  <c r="O447" i="414"/>
  <c r="N447" i="414"/>
  <c r="M447" i="414"/>
  <c r="L447" i="414"/>
  <c r="K447" i="414"/>
  <c r="O446" i="414"/>
  <c r="N446" i="414"/>
  <c r="M446" i="414"/>
  <c r="L446" i="414"/>
  <c r="K446" i="414"/>
  <c r="O445" i="414"/>
  <c r="N445" i="414"/>
  <c r="M445" i="414"/>
  <c r="L445" i="414"/>
  <c r="K445" i="414"/>
  <c r="O444" i="414"/>
  <c r="N444" i="414"/>
  <c r="M444" i="414"/>
  <c r="L444" i="414"/>
  <c r="K444" i="414"/>
  <c r="O443" i="414"/>
  <c r="N443" i="414"/>
  <c r="M443" i="414"/>
  <c r="L443" i="414"/>
  <c r="K443" i="414"/>
  <c r="O442" i="414"/>
  <c r="N442" i="414"/>
  <c r="M442" i="414"/>
  <c r="L442" i="414"/>
  <c r="K442" i="414"/>
  <c r="O441" i="414"/>
  <c r="N441" i="414"/>
  <c r="M441" i="414"/>
  <c r="L441" i="414"/>
  <c r="K441" i="414"/>
  <c r="O440" i="414"/>
  <c r="N440" i="414"/>
  <c r="M440" i="414"/>
  <c r="L440" i="414"/>
  <c r="K440" i="414"/>
  <c r="O439" i="414"/>
  <c r="N439" i="414"/>
  <c r="M439" i="414"/>
  <c r="L439" i="414"/>
  <c r="K439" i="414"/>
  <c r="O438" i="414"/>
  <c r="N438" i="414"/>
  <c r="M438" i="414"/>
  <c r="L438" i="414"/>
  <c r="K438" i="414"/>
  <c r="O437" i="414"/>
  <c r="N437" i="414"/>
  <c r="M437" i="414"/>
  <c r="L437" i="414"/>
  <c r="K437" i="414"/>
  <c r="O436" i="414"/>
  <c r="N436" i="414"/>
  <c r="M436" i="414"/>
  <c r="L436" i="414"/>
  <c r="K436" i="414"/>
  <c r="O435" i="414"/>
  <c r="N435" i="414"/>
  <c r="M435" i="414"/>
  <c r="L435" i="414"/>
  <c r="K435" i="414"/>
  <c r="O434" i="414"/>
  <c r="N434" i="414"/>
  <c r="M434" i="414"/>
  <c r="L434" i="414"/>
  <c r="K434" i="414"/>
  <c r="O433" i="414"/>
  <c r="N433" i="414"/>
  <c r="M433" i="414"/>
  <c r="L433" i="414"/>
  <c r="K433" i="414"/>
  <c r="O432" i="414"/>
  <c r="N432" i="414"/>
  <c r="M432" i="414"/>
  <c r="L432" i="414"/>
  <c r="K432" i="414"/>
  <c r="O431" i="414"/>
  <c r="N431" i="414"/>
  <c r="M431" i="414"/>
  <c r="L431" i="414"/>
  <c r="K431" i="414"/>
  <c r="O430" i="414"/>
  <c r="N430" i="414"/>
  <c r="M430" i="414"/>
  <c r="L430" i="414"/>
  <c r="K430" i="414"/>
  <c r="O429" i="414"/>
  <c r="N429" i="414"/>
  <c r="M429" i="414"/>
  <c r="L429" i="414"/>
  <c r="K429" i="414"/>
  <c r="O428" i="414"/>
  <c r="N428" i="414"/>
  <c r="M428" i="414"/>
  <c r="L428" i="414"/>
  <c r="K428" i="414"/>
  <c r="O427" i="414"/>
  <c r="N427" i="414"/>
  <c r="M427" i="414"/>
  <c r="L427" i="414"/>
  <c r="K427" i="414"/>
  <c r="O426" i="414"/>
  <c r="N426" i="414"/>
  <c r="M426" i="414"/>
  <c r="L426" i="414"/>
  <c r="K426" i="414"/>
  <c r="O425" i="414"/>
  <c r="N425" i="414"/>
  <c r="M425" i="414"/>
  <c r="L425" i="414"/>
  <c r="K425" i="414"/>
  <c r="O424" i="414"/>
  <c r="N424" i="414"/>
  <c r="M424" i="414"/>
  <c r="L424" i="414"/>
  <c r="K424" i="414"/>
  <c r="O423" i="414"/>
  <c r="N423" i="414"/>
  <c r="M423" i="414"/>
  <c r="L423" i="414"/>
  <c r="K423" i="414"/>
  <c r="O422" i="414"/>
  <c r="N422" i="414"/>
  <c r="M422" i="414"/>
  <c r="L422" i="414"/>
  <c r="K422" i="414"/>
  <c r="O421" i="414"/>
  <c r="N421" i="414"/>
  <c r="M421" i="414"/>
  <c r="L421" i="414"/>
  <c r="K421" i="414"/>
  <c r="O420" i="414"/>
  <c r="N420" i="414"/>
  <c r="M420" i="414"/>
  <c r="L420" i="414"/>
  <c r="K420" i="414"/>
  <c r="O419" i="414"/>
  <c r="N419" i="414"/>
  <c r="M419" i="414"/>
  <c r="L419" i="414"/>
  <c r="K419" i="414"/>
  <c r="O418" i="414"/>
  <c r="N418" i="414"/>
  <c r="M418" i="414"/>
  <c r="L418" i="414"/>
  <c r="K418" i="414"/>
  <c r="O417" i="414"/>
  <c r="N417" i="414"/>
  <c r="M417" i="414"/>
  <c r="L417" i="414"/>
  <c r="K417" i="414"/>
  <c r="O416" i="414"/>
  <c r="N416" i="414"/>
  <c r="M416" i="414"/>
  <c r="L416" i="414"/>
  <c r="K416" i="414"/>
  <c r="O415" i="414"/>
  <c r="N415" i="414"/>
  <c r="M415" i="414"/>
  <c r="L415" i="414"/>
  <c r="K415" i="414"/>
  <c r="O414" i="414"/>
  <c r="N414" i="414"/>
  <c r="M414" i="414"/>
  <c r="L414" i="414"/>
  <c r="K414" i="414"/>
  <c r="O413" i="414"/>
  <c r="N413" i="414"/>
  <c r="M413" i="414"/>
  <c r="L413" i="414"/>
  <c r="K413" i="414"/>
  <c r="O412" i="414"/>
  <c r="N412" i="414"/>
  <c r="M412" i="414"/>
  <c r="L412" i="414"/>
  <c r="K412" i="414"/>
  <c r="O411" i="414"/>
  <c r="N411" i="414"/>
  <c r="M411" i="414"/>
  <c r="L411" i="414"/>
  <c r="K411" i="414"/>
  <c r="O410" i="414"/>
  <c r="N410" i="414"/>
  <c r="M410" i="414"/>
  <c r="L410" i="414"/>
  <c r="K410" i="414"/>
  <c r="O409" i="414"/>
  <c r="N409" i="414"/>
  <c r="M409" i="414"/>
  <c r="L409" i="414"/>
  <c r="K409" i="414"/>
  <c r="O408" i="414"/>
  <c r="N408" i="414"/>
  <c r="M408" i="414"/>
  <c r="L408" i="414"/>
  <c r="K408" i="414"/>
  <c r="O407" i="414"/>
  <c r="N407" i="414"/>
  <c r="M407" i="414"/>
  <c r="L407" i="414"/>
  <c r="K407" i="414"/>
  <c r="O406" i="414"/>
  <c r="N406" i="414"/>
  <c r="M406" i="414"/>
  <c r="L406" i="414"/>
  <c r="K406" i="414"/>
  <c r="O405" i="414"/>
  <c r="N405" i="414"/>
  <c r="M405" i="414"/>
  <c r="L405" i="414"/>
  <c r="K405" i="414"/>
  <c r="O404" i="414"/>
  <c r="N404" i="414"/>
  <c r="M404" i="414"/>
  <c r="L404" i="414"/>
  <c r="K404" i="414"/>
  <c r="O403" i="414"/>
  <c r="N403" i="414"/>
  <c r="M403" i="414"/>
  <c r="L403" i="414"/>
  <c r="K403" i="414"/>
  <c r="O402" i="414"/>
  <c r="N402" i="414"/>
  <c r="M402" i="414"/>
  <c r="L402" i="414"/>
  <c r="K402" i="414"/>
  <c r="O401" i="414"/>
  <c r="N401" i="414"/>
  <c r="M401" i="414"/>
  <c r="L401" i="414"/>
  <c r="K401" i="414"/>
  <c r="O400" i="414"/>
  <c r="N400" i="414"/>
  <c r="M400" i="414"/>
  <c r="L400" i="414"/>
  <c r="K400" i="414"/>
  <c r="O399" i="414"/>
  <c r="N399" i="414"/>
  <c r="M399" i="414"/>
  <c r="L399" i="414"/>
  <c r="K399" i="414"/>
  <c r="O398" i="414"/>
  <c r="N398" i="414"/>
  <c r="M398" i="414"/>
  <c r="L398" i="414"/>
  <c r="K398" i="414"/>
  <c r="O397" i="414"/>
  <c r="N397" i="414"/>
  <c r="M397" i="414"/>
  <c r="L397" i="414"/>
  <c r="K397" i="414"/>
  <c r="O396" i="414"/>
  <c r="N396" i="414"/>
  <c r="M396" i="414"/>
  <c r="L396" i="414"/>
  <c r="K396" i="414"/>
  <c r="O395" i="414"/>
  <c r="N395" i="414"/>
  <c r="M395" i="414"/>
  <c r="L395" i="414"/>
  <c r="K395" i="414"/>
  <c r="O394" i="414"/>
  <c r="N394" i="414"/>
  <c r="M394" i="414"/>
  <c r="L394" i="414"/>
  <c r="K394" i="414"/>
  <c r="O393" i="414"/>
  <c r="N393" i="414"/>
  <c r="M393" i="414"/>
  <c r="L393" i="414"/>
  <c r="K393" i="414"/>
  <c r="O392" i="414"/>
  <c r="N392" i="414"/>
  <c r="M392" i="414"/>
  <c r="L392" i="414"/>
  <c r="K392" i="414"/>
  <c r="O391" i="414"/>
  <c r="N391" i="414"/>
  <c r="M391" i="414"/>
  <c r="L391" i="414"/>
  <c r="K391" i="414"/>
  <c r="O390" i="414"/>
  <c r="N390" i="414"/>
  <c r="M390" i="414"/>
  <c r="L390" i="414"/>
  <c r="K390" i="414"/>
  <c r="O389" i="414"/>
  <c r="N389" i="414"/>
  <c r="M389" i="414"/>
  <c r="L389" i="414"/>
  <c r="K389" i="414"/>
  <c r="O388" i="414"/>
  <c r="N388" i="414"/>
  <c r="M388" i="414"/>
  <c r="L388" i="414"/>
  <c r="K388" i="414"/>
  <c r="O387" i="414"/>
  <c r="N387" i="414"/>
  <c r="M387" i="414"/>
  <c r="L387" i="414"/>
  <c r="K387" i="414"/>
  <c r="O386" i="414"/>
  <c r="N386" i="414"/>
  <c r="M386" i="414"/>
  <c r="L386" i="414"/>
  <c r="K386" i="414"/>
  <c r="O385" i="414"/>
  <c r="N385" i="414"/>
  <c r="M385" i="414"/>
  <c r="L385" i="414"/>
  <c r="K385" i="414"/>
  <c r="O384" i="414"/>
  <c r="N384" i="414"/>
  <c r="M384" i="414"/>
  <c r="L384" i="414"/>
  <c r="K384" i="414"/>
  <c r="O383" i="414"/>
  <c r="N383" i="414"/>
  <c r="M383" i="414"/>
  <c r="L383" i="414"/>
  <c r="K383" i="414"/>
  <c r="O382" i="414"/>
  <c r="N382" i="414"/>
  <c r="M382" i="414"/>
  <c r="L382" i="414"/>
  <c r="K382" i="414"/>
  <c r="O381" i="414"/>
  <c r="N381" i="414"/>
  <c r="M381" i="414"/>
  <c r="L381" i="414"/>
  <c r="K381" i="414"/>
  <c r="O380" i="414"/>
  <c r="N380" i="414"/>
  <c r="M380" i="414"/>
  <c r="L380" i="414"/>
  <c r="K380" i="414"/>
  <c r="O379" i="414"/>
  <c r="N379" i="414"/>
  <c r="M379" i="414"/>
  <c r="L379" i="414"/>
  <c r="K379" i="414"/>
  <c r="O378" i="414"/>
  <c r="N378" i="414"/>
  <c r="M378" i="414"/>
  <c r="L378" i="414"/>
  <c r="K378" i="414"/>
  <c r="O377" i="414"/>
  <c r="N377" i="414"/>
  <c r="M377" i="414"/>
  <c r="L377" i="414"/>
  <c r="K377" i="414"/>
  <c r="O376" i="414"/>
  <c r="N376" i="414"/>
  <c r="M376" i="414"/>
  <c r="L376" i="414"/>
  <c r="K376" i="414"/>
  <c r="O375" i="414"/>
  <c r="N375" i="414"/>
  <c r="M375" i="414"/>
  <c r="L375" i="414"/>
  <c r="K375" i="414"/>
  <c r="O374" i="414"/>
  <c r="N374" i="414"/>
  <c r="M374" i="414"/>
  <c r="L374" i="414"/>
  <c r="K374" i="414"/>
  <c r="O373" i="414"/>
  <c r="N373" i="414"/>
  <c r="M373" i="414"/>
  <c r="L373" i="414"/>
  <c r="K373" i="414"/>
  <c r="O372" i="414"/>
  <c r="N372" i="414"/>
  <c r="M372" i="414"/>
  <c r="L372" i="414"/>
  <c r="K372" i="414"/>
  <c r="O371" i="414"/>
  <c r="N371" i="414"/>
  <c r="M371" i="414"/>
  <c r="L371" i="414"/>
  <c r="K371" i="414"/>
  <c r="O370" i="414"/>
  <c r="N370" i="414"/>
  <c r="M370" i="414"/>
  <c r="L370" i="414"/>
  <c r="K370" i="414"/>
  <c r="O369" i="414"/>
  <c r="N369" i="414"/>
  <c r="M369" i="414"/>
  <c r="L369" i="414"/>
  <c r="K369" i="414"/>
  <c r="O368" i="414"/>
  <c r="N368" i="414"/>
  <c r="M368" i="414"/>
  <c r="L368" i="414"/>
  <c r="K368" i="414"/>
  <c r="O367" i="414"/>
  <c r="N367" i="414"/>
  <c r="M367" i="414"/>
  <c r="L367" i="414"/>
  <c r="K367" i="414"/>
  <c r="O366" i="414"/>
  <c r="N366" i="414"/>
  <c r="M366" i="414"/>
  <c r="L366" i="414"/>
  <c r="K366" i="414"/>
  <c r="O365" i="414"/>
  <c r="N365" i="414"/>
  <c r="M365" i="414"/>
  <c r="L365" i="414"/>
  <c r="K365" i="414"/>
  <c r="O364" i="414"/>
  <c r="N364" i="414"/>
  <c r="M364" i="414"/>
  <c r="L364" i="414"/>
  <c r="K364" i="414"/>
  <c r="O363" i="414"/>
  <c r="N363" i="414"/>
  <c r="M363" i="414"/>
  <c r="L363" i="414"/>
  <c r="K363" i="414"/>
  <c r="O362" i="414"/>
  <c r="N362" i="414"/>
  <c r="M362" i="414"/>
  <c r="L362" i="414"/>
  <c r="K362" i="414"/>
  <c r="O361" i="414"/>
  <c r="N361" i="414"/>
  <c r="M361" i="414"/>
  <c r="L361" i="414"/>
  <c r="K361" i="414"/>
  <c r="O360" i="414"/>
  <c r="N360" i="414"/>
  <c r="M360" i="414"/>
  <c r="L360" i="414"/>
  <c r="K360" i="414"/>
  <c r="O359" i="414"/>
  <c r="N359" i="414"/>
  <c r="M359" i="414"/>
  <c r="L359" i="414"/>
  <c r="K359" i="414"/>
  <c r="O358" i="414"/>
  <c r="N358" i="414"/>
  <c r="M358" i="414"/>
  <c r="L358" i="414"/>
  <c r="K358" i="414"/>
  <c r="O357" i="414"/>
  <c r="N357" i="414"/>
  <c r="M357" i="414"/>
  <c r="L357" i="414"/>
  <c r="K357" i="414"/>
  <c r="O356" i="414"/>
  <c r="N356" i="414"/>
  <c r="M356" i="414"/>
  <c r="L356" i="414"/>
  <c r="K356" i="414"/>
  <c r="O355" i="414"/>
  <c r="N355" i="414"/>
  <c r="M355" i="414"/>
  <c r="L355" i="414"/>
  <c r="K355" i="414"/>
  <c r="O354" i="414"/>
  <c r="N354" i="414"/>
  <c r="M354" i="414"/>
  <c r="L354" i="414"/>
  <c r="K354" i="414"/>
  <c r="O353" i="414"/>
  <c r="N353" i="414"/>
  <c r="M353" i="414"/>
  <c r="L353" i="414"/>
  <c r="K353" i="414"/>
  <c r="O352" i="414"/>
  <c r="N352" i="414"/>
  <c r="M352" i="414"/>
  <c r="L352" i="414"/>
  <c r="K352" i="414"/>
  <c r="O351" i="414"/>
  <c r="N351" i="414"/>
  <c r="M351" i="414"/>
  <c r="L351" i="414"/>
  <c r="K351" i="414"/>
  <c r="O350" i="414"/>
  <c r="N350" i="414"/>
  <c r="M350" i="414"/>
  <c r="L350" i="414"/>
  <c r="K350" i="414"/>
  <c r="O349" i="414"/>
  <c r="N349" i="414"/>
  <c r="M349" i="414"/>
  <c r="L349" i="414"/>
  <c r="K349" i="414"/>
  <c r="O348" i="414"/>
  <c r="N348" i="414"/>
  <c r="M348" i="414"/>
  <c r="L348" i="414"/>
  <c r="K348" i="414"/>
  <c r="O347" i="414"/>
  <c r="N347" i="414"/>
  <c r="M347" i="414"/>
  <c r="L347" i="414"/>
  <c r="K347" i="414"/>
  <c r="O346" i="414"/>
  <c r="N346" i="414"/>
  <c r="M346" i="414"/>
  <c r="L346" i="414"/>
  <c r="K346" i="414"/>
  <c r="O345" i="414"/>
  <c r="N345" i="414"/>
  <c r="M345" i="414"/>
  <c r="L345" i="414"/>
  <c r="K345" i="414"/>
  <c r="O344" i="414"/>
  <c r="N344" i="414"/>
  <c r="M344" i="414"/>
  <c r="L344" i="414"/>
  <c r="K344" i="414"/>
  <c r="O343" i="414"/>
  <c r="N343" i="414"/>
  <c r="M343" i="414"/>
  <c r="L343" i="414"/>
  <c r="K343" i="414"/>
  <c r="O342" i="414"/>
  <c r="N342" i="414"/>
  <c r="M342" i="414"/>
  <c r="L342" i="414"/>
  <c r="K342" i="414"/>
  <c r="O341" i="414"/>
  <c r="N341" i="414"/>
  <c r="M341" i="414"/>
  <c r="L341" i="414"/>
  <c r="K341" i="414"/>
  <c r="O340" i="414"/>
  <c r="N340" i="414"/>
  <c r="M340" i="414"/>
  <c r="L340" i="414"/>
  <c r="K340" i="414"/>
  <c r="O339" i="414"/>
  <c r="N339" i="414"/>
  <c r="M339" i="414"/>
  <c r="L339" i="414"/>
  <c r="K339" i="414"/>
  <c r="O338" i="414"/>
  <c r="N338" i="414"/>
  <c r="M338" i="414"/>
  <c r="L338" i="414"/>
  <c r="K338" i="414"/>
  <c r="O337" i="414"/>
  <c r="N337" i="414"/>
  <c r="M337" i="414"/>
  <c r="L337" i="414"/>
  <c r="K337" i="414"/>
  <c r="O336" i="414"/>
  <c r="N336" i="414"/>
  <c r="M336" i="414"/>
  <c r="L336" i="414"/>
  <c r="K336" i="414"/>
  <c r="O335" i="414"/>
  <c r="N335" i="414"/>
  <c r="M335" i="414"/>
  <c r="L335" i="414"/>
  <c r="K335" i="414"/>
  <c r="O334" i="414"/>
  <c r="N334" i="414"/>
  <c r="M334" i="414"/>
  <c r="L334" i="414"/>
  <c r="K334" i="414"/>
  <c r="O333" i="414"/>
  <c r="N333" i="414"/>
  <c r="M333" i="414"/>
  <c r="L333" i="414"/>
  <c r="K333" i="414"/>
  <c r="O332" i="414"/>
  <c r="N332" i="414"/>
  <c r="M332" i="414"/>
  <c r="L332" i="414"/>
  <c r="K332" i="414"/>
  <c r="O331" i="414"/>
  <c r="N331" i="414"/>
  <c r="M331" i="414"/>
  <c r="L331" i="414"/>
  <c r="K331" i="414"/>
  <c r="O330" i="414"/>
  <c r="N330" i="414"/>
  <c r="M330" i="414"/>
  <c r="L330" i="414"/>
  <c r="K330" i="414"/>
  <c r="O329" i="414"/>
  <c r="N329" i="414"/>
  <c r="M329" i="414"/>
  <c r="L329" i="414"/>
  <c r="K329" i="414"/>
  <c r="O328" i="414"/>
  <c r="N328" i="414"/>
  <c r="M328" i="414"/>
  <c r="L328" i="414"/>
  <c r="K328" i="414"/>
  <c r="O327" i="414"/>
  <c r="N327" i="414"/>
  <c r="M327" i="414"/>
  <c r="L327" i="414"/>
  <c r="K327" i="414"/>
  <c r="O326" i="414"/>
  <c r="N326" i="414"/>
  <c r="M326" i="414"/>
  <c r="L326" i="414"/>
  <c r="K326" i="414"/>
  <c r="O325" i="414"/>
  <c r="N325" i="414"/>
  <c r="M325" i="414"/>
  <c r="L325" i="414"/>
  <c r="K325" i="414"/>
  <c r="O324" i="414"/>
  <c r="N324" i="414"/>
  <c r="M324" i="414"/>
  <c r="L324" i="414"/>
  <c r="K324" i="414"/>
  <c r="O323" i="414"/>
  <c r="N323" i="414"/>
  <c r="M323" i="414"/>
  <c r="L323" i="414"/>
  <c r="K323" i="414"/>
  <c r="O322" i="414"/>
  <c r="N322" i="414"/>
  <c r="M322" i="414"/>
  <c r="L322" i="414"/>
  <c r="K322" i="414"/>
  <c r="O321" i="414"/>
  <c r="N321" i="414"/>
  <c r="M321" i="414"/>
  <c r="L321" i="414"/>
  <c r="K321" i="414"/>
  <c r="O320" i="414"/>
  <c r="N320" i="414"/>
  <c r="M320" i="414"/>
  <c r="L320" i="414"/>
  <c r="K320" i="414"/>
  <c r="O319" i="414"/>
  <c r="N319" i="414"/>
  <c r="M319" i="414"/>
  <c r="L319" i="414"/>
  <c r="K319" i="414"/>
  <c r="O318" i="414"/>
  <c r="N318" i="414"/>
  <c r="M318" i="414"/>
  <c r="L318" i="414"/>
  <c r="K318" i="414"/>
  <c r="O317" i="414"/>
  <c r="N317" i="414"/>
  <c r="M317" i="414"/>
  <c r="L317" i="414"/>
  <c r="K317" i="414"/>
  <c r="O316" i="414"/>
  <c r="N316" i="414"/>
  <c r="M316" i="414"/>
  <c r="L316" i="414"/>
  <c r="K316" i="414"/>
  <c r="O315" i="414"/>
  <c r="N315" i="414"/>
  <c r="M315" i="414"/>
  <c r="L315" i="414"/>
  <c r="K315" i="414"/>
  <c r="O314" i="414"/>
  <c r="N314" i="414"/>
  <c r="M314" i="414"/>
  <c r="L314" i="414"/>
  <c r="K314" i="414"/>
  <c r="O313" i="414"/>
  <c r="N313" i="414"/>
  <c r="M313" i="414"/>
  <c r="L313" i="414"/>
  <c r="K313" i="414"/>
  <c r="O312" i="414"/>
  <c r="N312" i="414"/>
  <c r="M312" i="414"/>
  <c r="L312" i="414"/>
  <c r="K312" i="414"/>
  <c r="O311" i="414"/>
  <c r="N311" i="414"/>
  <c r="M311" i="414"/>
  <c r="L311" i="414"/>
  <c r="K311" i="414"/>
  <c r="O310" i="414"/>
  <c r="N310" i="414"/>
  <c r="M310" i="414"/>
  <c r="L310" i="414"/>
  <c r="K310" i="414"/>
  <c r="O309" i="414"/>
  <c r="N309" i="414"/>
  <c r="M309" i="414"/>
  <c r="L309" i="414"/>
  <c r="K309" i="414"/>
  <c r="O308" i="414"/>
  <c r="N308" i="414"/>
  <c r="M308" i="414"/>
  <c r="L308" i="414"/>
  <c r="K308" i="414"/>
  <c r="O307" i="414"/>
  <c r="N307" i="414"/>
  <c r="M307" i="414"/>
  <c r="L307" i="414"/>
  <c r="K307" i="414"/>
  <c r="O306" i="414"/>
  <c r="N306" i="414"/>
  <c r="M306" i="414"/>
  <c r="L306" i="414"/>
  <c r="K306" i="414"/>
  <c r="O305" i="414"/>
  <c r="N305" i="414"/>
  <c r="M305" i="414"/>
  <c r="L305" i="414"/>
  <c r="K305" i="414"/>
  <c r="O304" i="414"/>
  <c r="N304" i="414"/>
  <c r="M304" i="414"/>
  <c r="L304" i="414"/>
  <c r="K304" i="414"/>
  <c r="O303" i="414"/>
  <c r="N303" i="414"/>
  <c r="M303" i="414"/>
  <c r="L303" i="414"/>
  <c r="K303" i="414"/>
  <c r="O302" i="414"/>
  <c r="N302" i="414"/>
  <c r="M302" i="414"/>
  <c r="L302" i="414"/>
  <c r="K302" i="414"/>
  <c r="O301" i="414"/>
  <c r="N301" i="414"/>
  <c r="M301" i="414"/>
  <c r="L301" i="414"/>
  <c r="K301" i="414"/>
  <c r="O300" i="414"/>
  <c r="N300" i="414"/>
  <c r="M300" i="414"/>
  <c r="L300" i="414"/>
  <c r="K300" i="414"/>
  <c r="O299" i="414"/>
  <c r="N299" i="414"/>
  <c r="M299" i="414"/>
  <c r="L299" i="414"/>
  <c r="K299" i="414"/>
  <c r="O298" i="414"/>
  <c r="N298" i="414"/>
  <c r="M298" i="414"/>
  <c r="L298" i="414"/>
  <c r="K298" i="414"/>
  <c r="O297" i="414"/>
  <c r="N297" i="414"/>
  <c r="M297" i="414"/>
  <c r="L297" i="414"/>
  <c r="K297" i="414"/>
  <c r="O296" i="414"/>
  <c r="N296" i="414"/>
  <c r="M296" i="414"/>
  <c r="L296" i="414"/>
  <c r="K296" i="414"/>
  <c r="O295" i="414"/>
  <c r="N295" i="414"/>
  <c r="M295" i="414"/>
  <c r="L295" i="414"/>
  <c r="K295" i="414"/>
  <c r="O294" i="414"/>
  <c r="N294" i="414"/>
  <c r="M294" i="414"/>
  <c r="L294" i="414"/>
  <c r="K294" i="414"/>
  <c r="O293" i="414"/>
  <c r="N293" i="414"/>
  <c r="M293" i="414"/>
  <c r="L293" i="414"/>
  <c r="K293" i="414"/>
  <c r="O292" i="414"/>
  <c r="N292" i="414"/>
  <c r="M292" i="414"/>
  <c r="L292" i="414"/>
  <c r="K292" i="414"/>
  <c r="O291" i="414"/>
  <c r="N291" i="414"/>
  <c r="M291" i="414"/>
  <c r="L291" i="414"/>
  <c r="K291" i="414"/>
  <c r="O290" i="414"/>
  <c r="N290" i="414"/>
  <c r="M290" i="414"/>
  <c r="L290" i="414"/>
  <c r="K290" i="414"/>
  <c r="O289" i="414"/>
  <c r="N289" i="414"/>
  <c r="M289" i="414"/>
  <c r="L289" i="414"/>
  <c r="K289" i="414"/>
  <c r="O288" i="414"/>
  <c r="N288" i="414"/>
  <c r="M288" i="414"/>
  <c r="L288" i="414"/>
  <c r="K288" i="414"/>
  <c r="O287" i="414"/>
  <c r="N287" i="414"/>
  <c r="M287" i="414"/>
  <c r="L287" i="414"/>
  <c r="K287" i="414"/>
  <c r="O286" i="414"/>
  <c r="N286" i="414"/>
  <c r="M286" i="414"/>
  <c r="L286" i="414"/>
  <c r="K286" i="414"/>
  <c r="O285" i="414"/>
  <c r="N285" i="414"/>
  <c r="M285" i="414"/>
  <c r="L285" i="414"/>
  <c r="K285" i="414"/>
  <c r="O284" i="414"/>
  <c r="N284" i="414"/>
  <c r="M284" i="414"/>
  <c r="L284" i="414"/>
  <c r="K284" i="414"/>
  <c r="O283" i="414"/>
  <c r="N283" i="414"/>
  <c r="M283" i="414"/>
  <c r="L283" i="414"/>
  <c r="K283" i="414"/>
  <c r="O282" i="414"/>
  <c r="N282" i="414"/>
  <c r="M282" i="414"/>
  <c r="L282" i="414"/>
  <c r="K282" i="414"/>
  <c r="O281" i="414"/>
  <c r="N281" i="414"/>
  <c r="M281" i="414"/>
  <c r="L281" i="414"/>
  <c r="K281" i="414"/>
  <c r="O280" i="414"/>
  <c r="N280" i="414"/>
  <c r="M280" i="414"/>
  <c r="L280" i="414"/>
  <c r="K280" i="414"/>
  <c r="O279" i="414"/>
  <c r="N279" i="414"/>
  <c r="M279" i="414"/>
  <c r="L279" i="414"/>
  <c r="K279" i="414"/>
  <c r="O278" i="414"/>
  <c r="N278" i="414"/>
  <c r="M278" i="414"/>
  <c r="L278" i="414"/>
  <c r="K278" i="414"/>
  <c r="O277" i="414"/>
  <c r="N277" i="414"/>
  <c r="M277" i="414"/>
  <c r="L277" i="414"/>
  <c r="K277" i="414"/>
  <c r="O276" i="414"/>
  <c r="N276" i="414"/>
  <c r="M276" i="414"/>
  <c r="L276" i="414"/>
  <c r="K276" i="414"/>
  <c r="O275" i="414"/>
  <c r="N275" i="414"/>
  <c r="M275" i="414"/>
  <c r="L275" i="414"/>
  <c r="K275" i="414"/>
  <c r="O274" i="414"/>
  <c r="N274" i="414"/>
  <c r="M274" i="414"/>
  <c r="L274" i="414"/>
  <c r="K274" i="414"/>
  <c r="O273" i="414"/>
  <c r="N273" i="414"/>
  <c r="M273" i="414"/>
  <c r="L273" i="414"/>
  <c r="K273" i="414"/>
  <c r="O272" i="414"/>
  <c r="N272" i="414"/>
  <c r="M272" i="414"/>
  <c r="L272" i="414"/>
  <c r="K272" i="414"/>
  <c r="O271" i="414"/>
  <c r="N271" i="414"/>
  <c r="M271" i="414"/>
  <c r="L271" i="414"/>
  <c r="K271" i="414"/>
  <c r="O270" i="414"/>
  <c r="N270" i="414"/>
  <c r="M270" i="414"/>
  <c r="L270" i="414"/>
  <c r="K270" i="414"/>
  <c r="O269" i="414"/>
  <c r="N269" i="414"/>
  <c r="M269" i="414"/>
  <c r="L269" i="414"/>
  <c r="K269" i="414"/>
  <c r="O268" i="414"/>
  <c r="N268" i="414"/>
  <c r="M268" i="414"/>
  <c r="L268" i="414"/>
  <c r="K268" i="414"/>
  <c r="O267" i="414"/>
  <c r="N267" i="414"/>
  <c r="M267" i="414"/>
  <c r="L267" i="414"/>
  <c r="K267" i="414"/>
  <c r="O266" i="414"/>
  <c r="N266" i="414"/>
  <c r="M266" i="414"/>
  <c r="L266" i="414"/>
  <c r="K266" i="414"/>
  <c r="O265" i="414"/>
  <c r="N265" i="414"/>
  <c r="M265" i="414"/>
  <c r="L265" i="414"/>
  <c r="K265" i="414"/>
  <c r="O264" i="414"/>
  <c r="N264" i="414"/>
  <c r="M264" i="414"/>
  <c r="L264" i="414"/>
  <c r="K264" i="414"/>
  <c r="O263" i="414"/>
  <c r="N263" i="414"/>
  <c r="M263" i="414"/>
  <c r="L263" i="414"/>
  <c r="K263" i="414"/>
  <c r="O262" i="414"/>
  <c r="N262" i="414"/>
  <c r="M262" i="414"/>
  <c r="L262" i="414"/>
  <c r="K262" i="414"/>
  <c r="O261" i="414"/>
  <c r="N261" i="414"/>
  <c r="M261" i="414"/>
  <c r="L261" i="414"/>
  <c r="K261" i="414"/>
  <c r="O260" i="414"/>
  <c r="N260" i="414"/>
  <c r="M260" i="414"/>
  <c r="L260" i="414"/>
  <c r="K260" i="414"/>
  <c r="O259" i="414"/>
  <c r="N259" i="414"/>
  <c r="M259" i="414"/>
  <c r="L259" i="414"/>
  <c r="K259" i="414"/>
  <c r="O258" i="414"/>
  <c r="N258" i="414"/>
  <c r="M258" i="414"/>
  <c r="L258" i="414"/>
  <c r="K258" i="414"/>
  <c r="O257" i="414"/>
  <c r="N257" i="414"/>
  <c r="M257" i="414"/>
  <c r="L257" i="414"/>
  <c r="K257" i="414"/>
  <c r="O256" i="414"/>
  <c r="N256" i="414"/>
  <c r="M256" i="414"/>
  <c r="L256" i="414"/>
  <c r="K256" i="414"/>
  <c r="O255" i="414"/>
  <c r="N255" i="414"/>
  <c r="M255" i="414"/>
  <c r="L255" i="414"/>
  <c r="K255" i="414"/>
  <c r="O254" i="414"/>
  <c r="N254" i="414"/>
  <c r="M254" i="414"/>
  <c r="L254" i="414"/>
  <c r="K254" i="414"/>
  <c r="O253" i="414"/>
  <c r="N253" i="414"/>
  <c r="M253" i="414"/>
  <c r="L253" i="414"/>
  <c r="K253" i="414"/>
  <c r="O252" i="414"/>
  <c r="N252" i="414"/>
  <c r="M252" i="414"/>
  <c r="L252" i="414"/>
  <c r="K252" i="414"/>
  <c r="O251" i="414"/>
  <c r="N251" i="414"/>
  <c r="M251" i="414"/>
  <c r="L251" i="414"/>
  <c r="K251" i="414"/>
  <c r="O250" i="414"/>
  <c r="N250" i="414"/>
  <c r="M250" i="414"/>
  <c r="L250" i="414"/>
  <c r="K250" i="414"/>
  <c r="O249" i="414"/>
  <c r="N249" i="414"/>
  <c r="M249" i="414"/>
  <c r="L249" i="414"/>
  <c r="K249" i="414"/>
  <c r="O248" i="414"/>
  <c r="N248" i="414"/>
  <c r="M248" i="414"/>
  <c r="L248" i="414"/>
  <c r="K248" i="414"/>
  <c r="O247" i="414"/>
  <c r="N247" i="414"/>
  <c r="M247" i="414"/>
  <c r="L247" i="414"/>
  <c r="K247" i="414"/>
  <c r="O246" i="414"/>
  <c r="N246" i="414"/>
  <c r="M246" i="414"/>
  <c r="L246" i="414"/>
  <c r="K246" i="414"/>
  <c r="O245" i="414"/>
  <c r="N245" i="414"/>
  <c r="M245" i="414"/>
  <c r="L245" i="414"/>
  <c r="K245" i="414"/>
  <c r="O244" i="414"/>
  <c r="N244" i="414"/>
  <c r="M244" i="414"/>
  <c r="L244" i="414"/>
  <c r="K244" i="414"/>
  <c r="O243" i="414"/>
  <c r="N243" i="414"/>
  <c r="M243" i="414"/>
  <c r="L243" i="414"/>
  <c r="K243" i="414"/>
  <c r="O242" i="414"/>
  <c r="N242" i="414"/>
  <c r="M242" i="414"/>
  <c r="L242" i="414"/>
  <c r="K242" i="414"/>
  <c r="O241" i="414"/>
  <c r="N241" i="414"/>
  <c r="M241" i="414"/>
  <c r="L241" i="414"/>
  <c r="K241" i="414"/>
  <c r="O240" i="414"/>
  <c r="N240" i="414"/>
  <c r="M240" i="414"/>
  <c r="L240" i="414"/>
  <c r="K240" i="414"/>
  <c r="O239" i="414"/>
  <c r="N239" i="414"/>
  <c r="M239" i="414"/>
  <c r="L239" i="414"/>
  <c r="K239" i="414"/>
  <c r="O238" i="414"/>
  <c r="N238" i="414"/>
  <c r="M238" i="414"/>
  <c r="L238" i="414"/>
  <c r="K238" i="414"/>
  <c r="O237" i="414"/>
  <c r="N237" i="414"/>
  <c r="M237" i="414"/>
  <c r="L237" i="414"/>
  <c r="K237" i="414"/>
  <c r="O236" i="414"/>
  <c r="N236" i="414"/>
  <c r="M236" i="414"/>
  <c r="L236" i="414"/>
  <c r="K236" i="414"/>
  <c r="O235" i="414"/>
  <c r="N235" i="414"/>
  <c r="M235" i="414"/>
  <c r="L235" i="414"/>
  <c r="K235" i="414"/>
  <c r="O234" i="414"/>
  <c r="N234" i="414"/>
  <c r="M234" i="414"/>
  <c r="L234" i="414"/>
  <c r="K234" i="414"/>
  <c r="O233" i="414"/>
  <c r="N233" i="414"/>
  <c r="M233" i="414"/>
  <c r="L233" i="414"/>
  <c r="K233" i="414"/>
  <c r="O232" i="414"/>
  <c r="N232" i="414"/>
  <c r="M232" i="414"/>
  <c r="L232" i="414"/>
  <c r="K232" i="414"/>
  <c r="O231" i="414"/>
  <c r="N231" i="414"/>
  <c r="M231" i="414"/>
  <c r="L231" i="414"/>
  <c r="K231" i="414"/>
  <c r="O230" i="414"/>
  <c r="N230" i="414"/>
  <c r="M230" i="414"/>
  <c r="L230" i="414"/>
  <c r="K230" i="414"/>
  <c r="O229" i="414"/>
  <c r="N229" i="414"/>
  <c r="M229" i="414"/>
  <c r="L229" i="414"/>
  <c r="K229" i="414"/>
  <c r="O228" i="414"/>
  <c r="N228" i="414"/>
  <c r="M228" i="414"/>
  <c r="L228" i="414"/>
  <c r="K228" i="414"/>
  <c r="O227" i="414"/>
  <c r="N227" i="414"/>
  <c r="M227" i="414"/>
  <c r="L227" i="414"/>
  <c r="K227" i="414"/>
  <c r="O226" i="414"/>
  <c r="N226" i="414"/>
  <c r="M226" i="414"/>
  <c r="L226" i="414"/>
  <c r="K226" i="414"/>
  <c r="O225" i="414"/>
  <c r="N225" i="414"/>
  <c r="M225" i="414"/>
  <c r="L225" i="414"/>
  <c r="K225" i="414"/>
  <c r="O224" i="414"/>
  <c r="N224" i="414"/>
  <c r="M224" i="414"/>
  <c r="L224" i="414"/>
  <c r="K224" i="414"/>
  <c r="O223" i="414"/>
  <c r="N223" i="414"/>
  <c r="M223" i="414"/>
  <c r="L223" i="414"/>
  <c r="K223" i="414"/>
  <c r="O222" i="414"/>
  <c r="N222" i="414"/>
  <c r="M222" i="414"/>
  <c r="L222" i="414"/>
  <c r="K222" i="414"/>
  <c r="O221" i="414"/>
  <c r="N221" i="414"/>
  <c r="M221" i="414"/>
  <c r="L221" i="414"/>
  <c r="K221" i="414"/>
  <c r="O220" i="414"/>
  <c r="N220" i="414"/>
  <c r="M220" i="414"/>
  <c r="L220" i="414"/>
  <c r="K220" i="414"/>
  <c r="O219" i="414"/>
  <c r="N219" i="414"/>
  <c r="M219" i="414"/>
  <c r="L219" i="414"/>
  <c r="K219" i="414"/>
  <c r="O218" i="414"/>
  <c r="N218" i="414"/>
  <c r="M218" i="414"/>
  <c r="L218" i="414"/>
  <c r="K218" i="414"/>
  <c r="O217" i="414"/>
  <c r="N217" i="414"/>
  <c r="M217" i="414"/>
  <c r="L217" i="414"/>
  <c r="K217" i="414"/>
  <c r="O216" i="414"/>
  <c r="N216" i="414"/>
  <c r="M216" i="414"/>
  <c r="L216" i="414"/>
  <c r="K216" i="414"/>
  <c r="O215" i="414"/>
  <c r="N215" i="414"/>
  <c r="M215" i="414"/>
  <c r="L215" i="414"/>
  <c r="K215" i="414"/>
  <c r="O214" i="414"/>
  <c r="N214" i="414"/>
  <c r="M214" i="414"/>
  <c r="L214" i="414"/>
  <c r="K214" i="414"/>
  <c r="O213" i="414"/>
  <c r="N213" i="414"/>
  <c r="M213" i="414"/>
  <c r="L213" i="414"/>
  <c r="K213" i="414"/>
  <c r="O212" i="414"/>
  <c r="N212" i="414"/>
  <c r="M212" i="414"/>
  <c r="L212" i="414"/>
  <c r="K212" i="414"/>
  <c r="O211" i="414"/>
  <c r="N211" i="414"/>
  <c r="M211" i="414"/>
  <c r="L211" i="414"/>
  <c r="K211" i="414"/>
  <c r="O210" i="414"/>
  <c r="N210" i="414"/>
  <c r="M210" i="414"/>
  <c r="L210" i="414"/>
  <c r="K210" i="414"/>
  <c r="O209" i="414"/>
  <c r="N209" i="414"/>
  <c r="M209" i="414"/>
  <c r="L209" i="414"/>
  <c r="K209" i="414"/>
  <c r="O208" i="414"/>
  <c r="N208" i="414"/>
  <c r="M208" i="414"/>
  <c r="L208" i="414"/>
  <c r="K208" i="414"/>
  <c r="O207" i="414"/>
  <c r="N207" i="414"/>
  <c r="M207" i="414"/>
  <c r="L207" i="414"/>
  <c r="K207" i="414"/>
  <c r="O206" i="414"/>
  <c r="N206" i="414"/>
  <c r="M206" i="414"/>
  <c r="L206" i="414"/>
  <c r="K206" i="414"/>
  <c r="O205" i="414"/>
  <c r="N205" i="414"/>
  <c r="M205" i="414"/>
  <c r="L205" i="414"/>
  <c r="K205" i="414"/>
  <c r="O204" i="414"/>
  <c r="N204" i="414"/>
  <c r="M204" i="414"/>
  <c r="L204" i="414"/>
  <c r="K204" i="414"/>
  <c r="O203" i="414"/>
  <c r="N203" i="414"/>
  <c r="M203" i="414"/>
  <c r="L203" i="414"/>
  <c r="K203" i="414"/>
  <c r="O202" i="414"/>
  <c r="N202" i="414"/>
  <c r="M202" i="414"/>
  <c r="L202" i="414"/>
  <c r="K202" i="414"/>
  <c r="O201" i="414"/>
  <c r="N201" i="414"/>
  <c r="M201" i="414"/>
  <c r="L201" i="414"/>
  <c r="K201" i="414"/>
  <c r="O200" i="414"/>
  <c r="N200" i="414"/>
  <c r="M200" i="414"/>
  <c r="L200" i="414"/>
  <c r="K200" i="414"/>
  <c r="O199" i="414"/>
  <c r="N199" i="414"/>
  <c r="M199" i="414"/>
  <c r="L199" i="414"/>
  <c r="K199" i="414"/>
  <c r="O198" i="414"/>
  <c r="N198" i="414"/>
  <c r="M198" i="414"/>
  <c r="L198" i="414"/>
  <c r="K198" i="414"/>
  <c r="O197" i="414"/>
  <c r="N197" i="414"/>
  <c r="M197" i="414"/>
  <c r="L197" i="414"/>
  <c r="K197" i="414"/>
  <c r="O196" i="414"/>
  <c r="N196" i="414"/>
  <c r="M196" i="414"/>
  <c r="L196" i="414"/>
  <c r="K196" i="414"/>
  <c r="O195" i="414"/>
  <c r="N195" i="414"/>
  <c r="M195" i="414"/>
  <c r="L195" i="414"/>
  <c r="K195" i="414"/>
  <c r="O194" i="414"/>
  <c r="N194" i="414"/>
  <c r="M194" i="414"/>
  <c r="L194" i="414"/>
  <c r="K194" i="414"/>
  <c r="O193" i="414"/>
  <c r="N193" i="414"/>
  <c r="M193" i="414"/>
  <c r="L193" i="414"/>
  <c r="K193" i="414"/>
  <c r="O192" i="414"/>
  <c r="N192" i="414"/>
  <c r="M192" i="414"/>
  <c r="L192" i="414"/>
  <c r="K192" i="414"/>
  <c r="O191" i="414"/>
  <c r="N191" i="414"/>
  <c r="M191" i="414"/>
  <c r="L191" i="414"/>
  <c r="K191" i="414"/>
  <c r="O190" i="414"/>
  <c r="N190" i="414"/>
  <c r="M190" i="414"/>
  <c r="L190" i="414"/>
  <c r="K190" i="414"/>
  <c r="O189" i="414"/>
  <c r="N189" i="414"/>
  <c r="M189" i="414"/>
  <c r="L189" i="414"/>
  <c r="K189" i="414"/>
  <c r="O188" i="414"/>
  <c r="N188" i="414"/>
  <c r="M188" i="414"/>
  <c r="L188" i="414"/>
  <c r="K188" i="414"/>
  <c r="O187" i="414"/>
  <c r="N187" i="414"/>
  <c r="M187" i="414"/>
  <c r="L187" i="414"/>
  <c r="K187" i="414"/>
  <c r="O186" i="414"/>
  <c r="N186" i="414"/>
  <c r="M186" i="414"/>
  <c r="L186" i="414"/>
  <c r="K186" i="414"/>
  <c r="O185" i="414"/>
  <c r="N185" i="414"/>
  <c r="M185" i="414"/>
  <c r="L185" i="414"/>
  <c r="K185" i="414"/>
  <c r="O184" i="414"/>
  <c r="N184" i="414"/>
  <c r="M184" i="414"/>
  <c r="L184" i="414"/>
  <c r="K184" i="414"/>
  <c r="O183" i="414"/>
  <c r="N183" i="414"/>
  <c r="M183" i="414"/>
  <c r="L183" i="414"/>
  <c r="K183" i="414"/>
  <c r="O182" i="414"/>
  <c r="N182" i="414"/>
  <c r="M182" i="414"/>
  <c r="L182" i="414"/>
  <c r="K182" i="414"/>
  <c r="O181" i="414"/>
  <c r="N181" i="414"/>
  <c r="M181" i="414"/>
  <c r="L181" i="414"/>
  <c r="K181" i="414"/>
  <c r="O180" i="414"/>
  <c r="N180" i="414"/>
  <c r="M180" i="414"/>
  <c r="L180" i="414"/>
  <c r="K180" i="414"/>
  <c r="O179" i="414"/>
  <c r="N179" i="414"/>
  <c r="M179" i="414"/>
  <c r="L179" i="414"/>
  <c r="K179" i="414"/>
  <c r="O178" i="414"/>
  <c r="N178" i="414"/>
  <c r="M178" i="414"/>
  <c r="L178" i="414"/>
  <c r="K178" i="414"/>
  <c r="O177" i="414"/>
  <c r="N177" i="414"/>
  <c r="M177" i="414"/>
  <c r="L177" i="414"/>
  <c r="K177" i="414"/>
  <c r="O176" i="414"/>
  <c r="N176" i="414"/>
  <c r="M176" i="414"/>
  <c r="L176" i="414"/>
  <c r="K176" i="414"/>
  <c r="O175" i="414"/>
  <c r="N175" i="414"/>
  <c r="M175" i="414"/>
  <c r="L175" i="414"/>
  <c r="K175" i="414"/>
  <c r="O174" i="414"/>
  <c r="N174" i="414"/>
  <c r="M174" i="414"/>
  <c r="L174" i="414"/>
  <c r="K174" i="414"/>
  <c r="O173" i="414"/>
  <c r="N173" i="414"/>
  <c r="M173" i="414"/>
  <c r="L173" i="414"/>
  <c r="K173" i="414"/>
  <c r="O172" i="414"/>
  <c r="N172" i="414"/>
  <c r="M172" i="414"/>
  <c r="L172" i="414"/>
  <c r="K172" i="414"/>
  <c r="O171" i="414"/>
  <c r="N171" i="414"/>
  <c r="M171" i="414"/>
  <c r="L171" i="414"/>
  <c r="K171" i="414"/>
  <c r="O170" i="414"/>
  <c r="N170" i="414"/>
  <c r="M170" i="414"/>
  <c r="L170" i="414"/>
  <c r="K170" i="414"/>
  <c r="O169" i="414"/>
  <c r="N169" i="414"/>
  <c r="M169" i="414"/>
  <c r="L169" i="414"/>
  <c r="K169" i="414"/>
  <c r="O168" i="414"/>
  <c r="N168" i="414"/>
  <c r="M168" i="414"/>
  <c r="L168" i="414"/>
  <c r="K168" i="414"/>
  <c r="O167" i="414"/>
  <c r="N167" i="414"/>
  <c r="M167" i="414"/>
  <c r="L167" i="414"/>
  <c r="K167" i="414"/>
  <c r="O166" i="414"/>
  <c r="N166" i="414"/>
  <c r="M166" i="414"/>
  <c r="L166" i="414"/>
  <c r="K166" i="414"/>
  <c r="O165" i="414"/>
  <c r="N165" i="414"/>
  <c r="M165" i="414"/>
  <c r="L165" i="414"/>
  <c r="K165" i="414"/>
  <c r="O164" i="414"/>
  <c r="N164" i="414"/>
  <c r="M164" i="414"/>
  <c r="L164" i="414"/>
  <c r="K164" i="414"/>
  <c r="O163" i="414"/>
  <c r="N163" i="414"/>
  <c r="M163" i="414"/>
  <c r="L163" i="414"/>
  <c r="K163" i="414"/>
  <c r="O162" i="414"/>
  <c r="N162" i="414"/>
  <c r="M162" i="414"/>
  <c r="L162" i="414"/>
  <c r="K162" i="414"/>
  <c r="O161" i="414"/>
  <c r="N161" i="414"/>
  <c r="M161" i="414"/>
  <c r="L161" i="414"/>
  <c r="K161" i="414"/>
  <c r="O160" i="414"/>
  <c r="N160" i="414"/>
  <c r="M160" i="414"/>
  <c r="L160" i="414"/>
  <c r="K160" i="414"/>
  <c r="O159" i="414"/>
  <c r="N159" i="414"/>
  <c r="M159" i="414"/>
  <c r="L159" i="414"/>
  <c r="K159" i="414"/>
  <c r="O158" i="414"/>
  <c r="N158" i="414"/>
  <c r="M158" i="414"/>
  <c r="L158" i="414"/>
  <c r="K158" i="414"/>
  <c r="O157" i="414"/>
  <c r="N157" i="414"/>
  <c r="M157" i="414"/>
  <c r="L157" i="414"/>
  <c r="K157" i="414"/>
  <c r="O156" i="414"/>
  <c r="N156" i="414"/>
  <c r="M156" i="414"/>
  <c r="L156" i="414"/>
  <c r="K156" i="414"/>
  <c r="O155" i="414"/>
  <c r="N155" i="414"/>
  <c r="M155" i="414"/>
  <c r="L155" i="414"/>
  <c r="K155" i="414"/>
  <c r="O154" i="414"/>
  <c r="N154" i="414"/>
  <c r="M154" i="414"/>
  <c r="L154" i="414"/>
  <c r="K154" i="414"/>
  <c r="O153" i="414"/>
  <c r="N153" i="414"/>
  <c r="M153" i="414"/>
  <c r="L153" i="414"/>
  <c r="K153" i="414"/>
  <c r="O152" i="414"/>
  <c r="N152" i="414"/>
  <c r="M152" i="414"/>
  <c r="L152" i="414"/>
  <c r="K152" i="414"/>
  <c r="O151" i="414"/>
  <c r="N151" i="414"/>
  <c r="M151" i="414"/>
  <c r="L151" i="414"/>
  <c r="K151" i="414"/>
  <c r="O150" i="414"/>
  <c r="N150" i="414"/>
  <c r="M150" i="414"/>
  <c r="L150" i="414"/>
  <c r="K150" i="414"/>
  <c r="O149" i="414"/>
  <c r="N149" i="414"/>
  <c r="M149" i="414"/>
  <c r="L149" i="414"/>
  <c r="K149" i="414"/>
  <c r="O148" i="414"/>
  <c r="N148" i="414"/>
  <c r="M148" i="414"/>
  <c r="L148" i="414"/>
  <c r="K148" i="414"/>
  <c r="O147" i="414"/>
  <c r="N147" i="414"/>
  <c r="M147" i="414"/>
  <c r="L147" i="414"/>
  <c r="K147" i="414"/>
  <c r="O146" i="414"/>
  <c r="N146" i="414"/>
  <c r="M146" i="414"/>
  <c r="L146" i="414"/>
  <c r="K146" i="414"/>
  <c r="O145" i="414"/>
  <c r="N145" i="414"/>
  <c r="M145" i="414"/>
  <c r="L145" i="414"/>
  <c r="K145" i="414"/>
  <c r="O144" i="414"/>
  <c r="N144" i="414"/>
  <c r="M144" i="414"/>
  <c r="L144" i="414"/>
  <c r="K144" i="414"/>
  <c r="O143" i="414"/>
  <c r="N143" i="414"/>
  <c r="M143" i="414"/>
  <c r="L143" i="414"/>
  <c r="K143" i="414"/>
  <c r="O142" i="414"/>
  <c r="N142" i="414"/>
  <c r="M142" i="414"/>
  <c r="L142" i="414"/>
  <c r="K142" i="414"/>
  <c r="O141" i="414"/>
  <c r="N141" i="414"/>
  <c r="M141" i="414"/>
  <c r="L141" i="414"/>
  <c r="K141" i="414"/>
  <c r="O140" i="414"/>
  <c r="N140" i="414"/>
  <c r="M140" i="414"/>
  <c r="L140" i="414"/>
  <c r="K140" i="414"/>
  <c r="O139" i="414"/>
  <c r="N139" i="414"/>
  <c r="M139" i="414"/>
  <c r="L139" i="414"/>
  <c r="K139" i="414"/>
  <c r="O138" i="414"/>
  <c r="N138" i="414"/>
  <c r="M138" i="414"/>
  <c r="L138" i="414"/>
  <c r="K138" i="414"/>
  <c r="O137" i="414"/>
  <c r="N137" i="414"/>
  <c r="M137" i="414"/>
  <c r="L137" i="414"/>
  <c r="K137" i="414"/>
  <c r="O136" i="414"/>
  <c r="N136" i="414"/>
  <c r="M136" i="414"/>
  <c r="L136" i="414"/>
  <c r="K136" i="414"/>
  <c r="O135" i="414"/>
  <c r="N135" i="414"/>
  <c r="M135" i="414"/>
  <c r="L135" i="414"/>
  <c r="K135" i="414"/>
  <c r="O134" i="414"/>
  <c r="N134" i="414"/>
  <c r="M134" i="414"/>
  <c r="L134" i="414"/>
  <c r="K134" i="414"/>
  <c r="O133" i="414"/>
  <c r="N133" i="414"/>
  <c r="M133" i="414"/>
  <c r="L133" i="414"/>
  <c r="K133" i="414"/>
  <c r="O132" i="414"/>
  <c r="N132" i="414"/>
  <c r="M132" i="414"/>
  <c r="L132" i="414"/>
  <c r="K132" i="414"/>
  <c r="O131" i="414"/>
  <c r="N131" i="414"/>
  <c r="M131" i="414"/>
  <c r="L131" i="414"/>
  <c r="K131" i="414"/>
  <c r="O130" i="414"/>
  <c r="N130" i="414"/>
  <c r="M130" i="414"/>
  <c r="L130" i="414"/>
  <c r="K130" i="414"/>
  <c r="O129" i="414"/>
  <c r="N129" i="414"/>
  <c r="M129" i="414"/>
  <c r="L129" i="414"/>
  <c r="K129" i="414"/>
  <c r="O128" i="414"/>
  <c r="N128" i="414"/>
  <c r="M128" i="414"/>
  <c r="L128" i="414"/>
  <c r="K128" i="414"/>
  <c r="O127" i="414"/>
  <c r="N127" i="414"/>
  <c r="M127" i="414"/>
  <c r="L127" i="414"/>
  <c r="K127" i="414"/>
  <c r="O126" i="414"/>
  <c r="N126" i="414"/>
  <c r="M126" i="414"/>
  <c r="L126" i="414"/>
  <c r="K126" i="414"/>
  <c r="O125" i="414"/>
  <c r="N125" i="414"/>
  <c r="M125" i="414"/>
  <c r="L125" i="414"/>
  <c r="K125" i="414"/>
  <c r="O124" i="414"/>
  <c r="N124" i="414"/>
  <c r="M124" i="414"/>
  <c r="L124" i="414"/>
  <c r="K124" i="414"/>
  <c r="O123" i="414"/>
  <c r="N123" i="414"/>
  <c r="M123" i="414"/>
  <c r="L123" i="414"/>
  <c r="K123" i="414"/>
  <c r="O122" i="414"/>
  <c r="N122" i="414"/>
  <c r="M122" i="414"/>
  <c r="L122" i="414"/>
  <c r="K122" i="414"/>
  <c r="O121" i="414"/>
  <c r="N121" i="414"/>
  <c r="M121" i="414"/>
  <c r="L121" i="414"/>
  <c r="K121" i="414"/>
  <c r="O120" i="414"/>
  <c r="N120" i="414"/>
  <c r="M120" i="414"/>
  <c r="L120" i="414"/>
  <c r="K120" i="414"/>
  <c r="O119" i="414"/>
  <c r="N119" i="414"/>
  <c r="M119" i="414"/>
  <c r="L119" i="414"/>
  <c r="K119" i="414"/>
  <c r="O118" i="414"/>
  <c r="N118" i="414"/>
  <c r="M118" i="414"/>
  <c r="L118" i="414"/>
  <c r="K118" i="414"/>
  <c r="O117" i="414"/>
  <c r="N117" i="414"/>
  <c r="M117" i="414"/>
  <c r="L117" i="414"/>
  <c r="K117" i="414"/>
  <c r="O116" i="414"/>
  <c r="N116" i="414"/>
  <c r="M116" i="414"/>
  <c r="L116" i="414"/>
  <c r="K116" i="414"/>
  <c r="O115" i="414"/>
  <c r="N115" i="414"/>
  <c r="M115" i="414"/>
  <c r="L115" i="414"/>
  <c r="K115" i="414"/>
  <c r="O114" i="414"/>
  <c r="N114" i="414"/>
  <c r="M114" i="414"/>
  <c r="L114" i="414"/>
  <c r="K114" i="414"/>
  <c r="O113" i="414"/>
  <c r="N113" i="414"/>
  <c r="M113" i="414"/>
  <c r="L113" i="414"/>
  <c r="K113" i="414"/>
  <c r="O112" i="414"/>
  <c r="N112" i="414"/>
  <c r="M112" i="414"/>
  <c r="L112" i="414"/>
  <c r="K112" i="414"/>
  <c r="O111" i="414"/>
  <c r="N111" i="414"/>
  <c r="M111" i="414"/>
  <c r="L111" i="414"/>
  <c r="K111" i="414"/>
  <c r="O110" i="414"/>
  <c r="N110" i="414"/>
  <c r="M110" i="414"/>
  <c r="L110" i="414"/>
  <c r="K110" i="414"/>
  <c r="O109" i="414"/>
  <c r="N109" i="414"/>
  <c r="M109" i="414"/>
  <c r="L109" i="414"/>
  <c r="K109" i="414"/>
  <c r="O108" i="414"/>
  <c r="N108" i="414"/>
  <c r="M108" i="414"/>
  <c r="L108" i="414"/>
  <c r="K108" i="414"/>
  <c r="O107" i="414"/>
  <c r="N107" i="414"/>
  <c r="M107" i="414"/>
  <c r="L107" i="414"/>
  <c r="K107" i="414"/>
  <c r="O106" i="414"/>
  <c r="N106" i="414"/>
  <c r="M106" i="414"/>
  <c r="L106" i="414"/>
  <c r="K106" i="414"/>
  <c r="O105" i="414"/>
  <c r="N105" i="414"/>
  <c r="M105" i="414"/>
  <c r="L105" i="414"/>
  <c r="K105" i="414"/>
  <c r="O104" i="414"/>
  <c r="N104" i="414"/>
  <c r="M104" i="414"/>
  <c r="L104" i="414"/>
  <c r="K104" i="414"/>
  <c r="O103" i="414"/>
  <c r="N103" i="414"/>
  <c r="M103" i="414"/>
  <c r="L103" i="414"/>
  <c r="K103" i="414"/>
  <c r="O102" i="414"/>
  <c r="N102" i="414"/>
  <c r="M102" i="414"/>
  <c r="L102" i="414"/>
  <c r="K102" i="414"/>
  <c r="O101" i="414"/>
  <c r="N101" i="414"/>
  <c r="M101" i="414"/>
  <c r="L101" i="414"/>
  <c r="K101" i="414"/>
  <c r="O100" i="414"/>
  <c r="N100" i="414"/>
  <c r="M100" i="414"/>
  <c r="L100" i="414"/>
  <c r="K100" i="414"/>
  <c r="O99" i="414"/>
  <c r="N99" i="414"/>
  <c r="M99" i="414"/>
  <c r="L99" i="414"/>
  <c r="K99" i="414"/>
  <c r="O98" i="414"/>
  <c r="N98" i="414"/>
  <c r="M98" i="414"/>
  <c r="L98" i="414"/>
  <c r="K98" i="414"/>
  <c r="O97" i="414"/>
  <c r="N97" i="414"/>
  <c r="M97" i="414"/>
  <c r="L97" i="414"/>
  <c r="K97" i="414"/>
  <c r="O96" i="414"/>
  <c r="N96" i="414"/>
  <c r="M96" i="414"/>
  <c r="L96" i="414"/>
  <c r="K96" i="414"/>
  <c r="O95" i="414"/>
  <c r="N95" i="414"/>
  <c r="M95" i="414"/>
  <c r="L95" i="414"/>
  <c r="K95" i="414"/>
  <c r="O94" i="414"/>
  <c r="N94" i="414"/>
  <c r="M94" i="414"/>
  <c r="L94" i="414"/>
  <c r="K94" i="414"/>
  <c r="O93" i="414"/>
  <c r="N93" i="414"/>
  <c r="M93" i="414"/>
  <c r="L93" i="414"/>
  <c r="K93" i="414"/>
  <c r="O92" i="414"/>
  <c r="N92" i="414"/>
  <c r="M92" i="414"/>
  <c r="L92" i="414"/>
  <c r="K92" i="414"/>
  <c r="O91" i="414"/>
  <c r="N91" i="414"/>
  <c r="M91" i="414"/>
  <c r="L91" i="414"/>
  <c r="K91" i="414"/>
  <c r="O90" i="414"/>
  <c r="N90" i="414"/>
  <c r="M90" i="414"/>
  <c r="L90" i="414"/>
  <c r="K90" i="414"/>
  <c r="O89" i="414"/>
  <c r="N89" i="414"/>
  <c r="M89" i="414"/>
  <c r="L89" i="414"/>
  <c r="K89" i="414"/>
  <c r="O88" i="414"/>
  <c r="N88" i="414"/>
  <c r="M88" i="414"/>
  <c r="L88" i="414"/>
  <c r="K88" i="414"/>
  <c r="O87" i="414"/>
  <c r="N87" i="414"/>
  <c r="M87" i="414"/>
  <c r="L87" i="414"/>
  <c r="K87" i="414"/>
  <c r="O86" i="414"/>
  <c r="N86" i="414"/>
  <c r="M86" i="414"/>
  <c r="L86" i="414"/>
  <c r="K86" i="414"/>
  <c r="O85" i="414"/>
  <c r="N85" i="414"/>
  <c r="M85" i="414"/>
  <c r="L85" i="414"/>
  <c r="K85" i="414"/>
  <c r="O84" i="414"/>
  <c r="N84" i="414"/>
  <c r="M84" i="414"/>
  <c r="L84" i="414"/>
  <c r="K84" i="414"/>
  <c r="O83" i="414"/>
  <c r="N83" i="414"/>
  <c r="M83" i="414"/>
  <c r="L83" i="414"/>
  <c r="K83" i="414"/>
  <c r="O82" i="414"/>
  <c r="N82" i="414"/>
  <c r="M82" i="414"/>
  <c r="L82" i="414"/>
  <c r="K82" i="414"/>
  <c r="O81" i="414"/>
  <c r="N81" i="414"/>
  <c r="M81" i="414"/>
  <c r="L81" i="414"/>
  <c r="K81" i="414"/>
  <c r="O80" i="414"/>
  <c r="N80" i="414"/>
  <c r="M80" i="414"/>
  <c r="L80" i="414"/>
  <c r="K80" i="414"/>
  <c r="O79" i="414"/>
  <c r="N79" i="414"/>
  <c r="M79" i="414"/>
  <c r="L79" i="414"/>
  <c r="K79" i="414"/>
  <c r="O78" i="414"/>
  <c r="N78" i="414"/>
  <c r="M78" i="414"/>
  <c r="L78" i="414"/>
  <c r="K78" i="414"/>
  <c r="O77" i="414"/>
  <c r="N77" i="414"/>
  <c r="M77" i="414"/>
  <c r="L77" i="414"/>
  <c r="K77" i="414"/>
  <c r="O76" i="414"/>
  <c r="N76" i="414"/>
  <c r="M76" i="414"/>
  <c r="L76" i="414"/>
  <c r="K76" i="414"/>
  <c r="O75" i="414"/>
  <c r="N75" i="414"/>
  <c r="M75" i="414"/>
  <c r="L75" i="414"/>
  <c r="K75" i="414"/>
  <c r="O74" i="414"/>
  <c r="N74" i="414"/>
  <c r="M74" i="414"/>
  <c r="L74" i="414"/>
  <c r="K74" i="414"/>
  <c r="O73" i="414"/>
  <c r="N73" i="414"/>
  <c r="M73" i="414"/>
  <c r="L73" i="414"/>
  <c r="K73" i="414"/>
  <c r="O72" i="414"/>
  <c r="N72" i="414"/>
  <c r="M72" i="414"/>
  <c r="L72" i="414"/>
  <c r="K72" i="414"/>
  <c r="O71" i="414"/>
  <c r="N71" i="414"/>
  <c r="M71" i="414"/>
  <c r="L71" i="414"/>
  <c r="K71" i="414"/>
  <c r="O70" i="414"/>
  <c r="N70" i="414"/>
  <c r="M70" i="414"/>
  <c r="L70" i="414"/>
  <c r="K70" i="414"/>
  <c r="O69" i="414"/>
  <c r="N69" i="414"/>
  <c r="M69" i="414"/>
  <c r="L69" i="414"/>
  <c r="K69" i="414"/>
  <c r="O68" i="414"/>
  <c r="N68" i="414"/>
  <c r="M68" i="414"/>
  <c r="L68" i="414"/>
  <c r="K68" i="414"/>
  <c r="O67" i="414"/>
  <c r="N67" i="414"/>
  <c r="M67" i="414"/>
  <c r="L67" i="414"/>
  <c r="K67" i="414"/>
  <c r="O66" i="414"/>
  <c r="N66" i="414"/>
  <c r="M66" i="414"/>
  <c r="L66" i="414"/>
  <c r="K66" i="414"/>
  <c r="O65" i="414"/>
  <c r="N65" i="414"/>
  <c r="M65" i="414"/>
  <c r="L65" i="414"/>
  <c r="K65" i="414"/>
  <c r="O64" i="414"/>
  <c r="N64" i="414"/>
  <c r="M64" i="414"/>
  <c r="L64" i="414"/>
  <c r="K64" i="414"/>
  <c r="O63" i="414"/>
  <c r="N63" i="414"/>
  <c r="M63" i="414"/>
  <c r="L63" i="414"/>
  <c r="K63" i="414"/>
  <c r="O62" i="414"/>
  <c r="N62" i="414"/>
  <c r="M62" i="414"/>
  <c r="L62" i="414"/>
  <c r="K62" i="414"/>
  <c r="O61" i="414"/>
  <c r="N61" i="414"/>
  <c r="M61" i="414"/>
  <c r="L61" i="414"/>
  <c r="K61" i="414"/>
  <c r="O60" i="414"/>
  <c r="N60" i="414"/>
  <c r="M60" i="414"/>
  <c r="L60" i="414"/>
  <c r="K60" i="414"/>
  <c r="O59" i="414"/>
  <c r="N59" i="414"/>
  <c r="M59" i="414"/>
  <c r="L59" i="414"/>
  <c r="K59" i="414"/>
  <c r="O58" i="414"/>
  <c r="N58" i="414"/>
  <c r="M58" i="414"/>
  <c r="L58" i="414"/>
  <c r="K58" i="414"/>
  <c r="O57" i="414"/>
  <c r="N57" i="414"/>
  <c r="M57" i="414"/>
  <c r="L57" i="414"/>
  <c r="K57" i="414"/>
  <c r="O56" i="414"/>
  <c r="N56" i="414"/>
  <c r="M56" i="414"/>
  <c r="L56" i="414"/>
  <c r="K56" i="414"/>
  <c r="O55" i="414"/>
  <c r="N55" i="414"/>
  <c r="M55" i="414"/>
  <c r="L55" i="414"/>
  <c r="K55" i="414"/>
  <c r="O54" i="414"/>
  <c r="N54" i="414"/>
  <c r="M54" i="414"/>
  <c r="L54" i="414"/>
  <c r="K54" i="414"/>
  <c r="O53" i="414"/>
  <c r="N53" i="414"/>
  <c r="M53" i="414"/>
  <c r="L53" i="414"/>
  <c r="K53" i="414"/>
  <c r="O52" i="414"/>
  <c r="N52" i="414"/>
  <c r="M52" i="414"/>
  <c r="L52" i="414"/>
  <c r="K52" i="414"/>
  <c r="O51" i="414"/>
  <c r="N51" i="414"/>
  <c r="M51" i="414"/>
  <c r="L51" i="414"/>
  <c r="K51" i="414"/>
  <c r="O50" i="414"/>
  <c r="N50" i="414"/>
  <c r="M50" i="414"/>
  <c r="L50" i="414"/>
  <c r="K50" i="414"/>
  <c r="O49" i="414"/>
  <c r="N49" i="414"/>
  <c r="M49" i="414"/>
  <c r="L49" i="414"/>
  <c r="K49" i="414"/>
  <c r="O48" i="414"/>
  <c r="N48" i="414"/>
  <c r="M48" i="414"/>
  <c r="L48" i="414"/>
  <c r="K48" i="414"/>
  <c r="O47" i="414"/>
  <c r="N47" i="414"/>
  <c r="M47" i="414"/>
  <c r="L47" i="414"/>
  <c r="K47" i="414"/>
  <c r="O46" i="414"/>
  <c r="N46" i="414"/>
  <c r="M46" i="414"/>
  <c r="L46" i="414"/>
  <c r="K46" i="414"/>
  <c r="O45" i="414"/>
  <c r="N45" i="414"/>
  <c r="M45" i="414"/>
  <c r="L45" i="414"/>
  <c r="K45" i="414"/>
  <c r="O44" i="414"/>
  <c r="N44" i="414"/>
  <c r="M44" i="414"/>
  <c r="L44" i="414"/>
  <c r="K44" i="414"/>
  <c r="O43" i="414"/>
  <c r="N43" i="414"/>
  <c r="M43" i="414"/>
  <c r="L43" i="414"/>
  <c r="K43" i="414"/>
  <c r="O42" i="414"/>
  <c r="N42" i="414"/>
  <c r="M42" i="414"/>
  <c r="L42" i="414"/>
  <c r="K42" i="414"/>
  <c r="O41" i="414"/>
  <c r="N41" i="414"/>
  <c r="M41" i="414"/>
  <c r="L41" i="414"/>
  <c r="K41" i="414"/>
  <c r="O40" i="414"/>
  <c r="N40" i="414"/>
  <c r="M40" i="414"/>
  <c r="L40" i="414"/>
  <c r="K40" i="414"/>
  <c r="O39" i="414"/>
  <c r="N39" i="414"/>
  <c r="M39" i="414"/>
  <c r="L39" i="414"/>
  <c r="K39" i="414"/>
  <c r="O38" i="414"/>
  <c r="N38" i="414"/>
  <c r="M38" i="414"/>
  <c r="L38" i="414"/>
  <c r="K38" i="414"/>
  <c r="O37" i="414"/>
  <c r="N37" i="414"/>
  <c r="M37" i="414"/>
  <c r="L37" i="414"/>
  <c r="K37" i="414"/>
  <c r="O36" i="414"/>
  <c r="N36" i="414"/>
  <c r="M36" i="414"/>
  <c r="L36" i="414"/>
  <c r="K36" i="414"/>
  <c r="O35" i="414"/>
  <c r="N35" i="414"/>
  <c r="M35" i="414"/>
  <c r="L35" i="414"/>
  <c r="K35" i="414"/>
  <c r="O34" i="414"/>
  <c r="N34" i="414"/>
  <c r="M34" i="414"/>
  <c r="L34" i="414"/>
  <c r="K34" i="414"/>
  <c r="O33" i="414"/>
  <c r="N33" i="414"/>
  <c r="M33" i="414"/>
  <c r="L33" i="414"/>
  <c r="K33" i="414"/>
  <c r="O32" i="414"/>
  <c r="N32" i="414"/>
  <c r="M32" i="414"/>
  <c r="L32" i="414"/>
  <c r="K32" i="414"/>
  <c r="O31" i="414"/>
  <c r="N31" i="414"/>
  <c r="M31" i="414"/>
  <c r="L31" i="414"/>
  <c r="K31" i="414"/>
  <c r="O30" i="414"/>
  <c r="N30" i="414"/>
  <c r="M30" i="414"/>
  <c r="L30" i="414"/>
  <c r="K30" i="414"/>
  <c r="O29" i="414"/>
  <c r="N29" i="414"/>
  <c r="M29" i="414"/>
  <c r="L29" i="414"/>
  <c r="K29" i="414"/>
  <c r="O28" i="414"/>
  <c r="N28" i="414"/>
  <c r="M28" i="414"/>
  <c r="L28" i="414"/>
  <c r="K28" i="414"/>
  <c r="O27" i="414"/>
  <c r="N27" i="414"/>
  <c r="M27" i="414"/>
  <c r="L27" i="414"/>
  <c r="K27" i="414"/>
  <c r="O26" i="414"/>
  <c r="N26" i="414"/>
  <c r="M26" i="414"/>
  <c r="L26" i="414"/>
  <c r="K26" i="414"/>
  <c r="O25" i="414"/>
  <c r="N25" i="414"/>
  <c r="M25" i="414"/>
  <c r="L25" i="414"/>
  <c r="K25" i="414"/>
  <c r="O24" i="414"/>
  <c r="N24" i="414"/>
  <c r="M24" i="414"/>
  <c r="L24" i="414"/>
  <c r="K24" i="414"/>
  <c r="O23" i="414"/>
  <c r="N23" i="414"/>
  <c r="M23" i="414"/>
  <c r="L23" i="414"/>
  <c r="K23" i="414"/>
  <c r="O22" i="414"/>
  <c r="N22" i="414"/>
  <c r="M22" i="414"/>
  <c r="L22" i="414"/>
  <c r="K22" i="414"/>
  <c r="O21" i="414"/>
  <c r="N21" i="414"/>
  <c r="M21" i="414"/>
  <c r="L21" i="414"/>
  <c r="K21" i="414"/>
  <c r="O20" i="414"/>
  <c r="N20" i="414"/>
  <c r="M20" i="414"/>
  <c r="L20" i="414"/>
  <c r="K20" i="414"/>
  <c r="O19" i="414"/>
  <c r="N19" i="414"/>
  <c r="M19" i="414"/>
  <c r="L19" i="414"/>
  <c r="K19" i="414"/>
  <c r="O18" i="414"/>
  <c r="N18" i="414"/>
  <c r="M18" i="414"/>
  <c r="L18" i="414"/>
  <c r="K18" i="414"/>
  <c r="O17" i="414"/>
  <c r="N17" i="414"/>
  <c r="M17" i="414"/>
  <c r="L17" i="414"/>
  <c r="K17" i="414"/>
  <c r="O16" i="414"/>
  <c r="N16" i="414"/>
  <c r="M16" i="414"/>
  <c r="L16" i="414"/>
  <c r="K16" i="414"/>
  <c r="O15" i="414"/>
  <c r="N15" i="414"/>
  <c r="M15" i="414"/>
  <c r="L15" i="414"/>
  <c r="K15" i="414"/>
  <c r="O14" i="414"/>
  <c r="N14" i="414"/>
  <c r="M14" i="414"/>
  <c r="L14" i="414"/>
  <c r="K14" i="414"/>
  <c r="O13" i="414"/>
  <c r="N13" i="414"/>
  <c r="M13" i="414"/>
  <c r="L13" i="414"/>
  <c r="K13" i="414"/>
  <c r="O12" i="414"/>
  <c r="N12" i="414"/>
  <c r="M12" i="414"/>
  <c r="L12" i="414"/>
  <c r="K12" i="414"/>
  <c r="O11" i="414"/>
  <c r="N11" i="414"/>
  <c r="M11" i="414"/>
  <c r="L11" i="414"/>
  <c r="K11" i="414"/>
  <c r="O10" i="414"/>
  <c r="N10" i="414"/>
  <c r="M10" i="414"/>
  <c r="L10" i="414"/>
  <c r="K10" i="414"/>
  <c r="O9" i="414"/>
  <c r="N9" i="414"/>
  <c r="M9" i="414"/>
  <c r="L9" i="414"/>
  <c r="K9" i="414"/>
  <c r="O8" i="414"/>
  <c r="N8" i="414"/>
  <c r="M8" i="414"/>
  <c r="L8" i="414"/>
  <c r="K8" i="414"/>
  <c r="O7" i="414"/>
  <c r="N7" i="414"/>
  <c r="M7" i="414"/>
  <c r="L7" i="414"/>
  <c r="K7" i="414"/>
  <c r="O6" i="414"/>
  <c r="N6" i="414"/>
  <c r="M6" i="414"/>
  <c r="L6" i="414"/>
  <c r="K6" i="414"/>
  <c r="O5" i="414"/>
  <c r="N5" i="414"/>
  <c r="M5" i="414"/>
  <c r="L5" i="414"/>
  <c r="C52" i="415" s="1"/>
  <c r="K5" i="414"/>
  <c r="O4" i="414"/>
  <c r="N4" i="414"/>
  <c r="M4" i="414"/>
  <c r="L4" i="414"/>
  <c r="K4" i="414"/>
  <c r="O3" i="414"/>
  <c r="N3" i="414"/>
  <c r="M3" i="414"/>
  <c r="L3" i="414"/>
  <c r="L15" i="385" s="1"/>
  <c r="K3" i="414"/>
  <c r="O2" i="414"/>
  <c r="N2" i="414"/>
  <c r="M2" i="414"/>
  <c r="L2" i="414"/>
  <c r="D38" i="415" s="1"/>
  <c r="K2" i="414"/>
  <c r="O397" i="384"/>
  <c r="N397" i="384"/>
  <c r="M397" i="384"/>
  <c r="L397" i="384"/>
  <c r="K397" i="384"/>
  <c r="O396" i="384"/>
  <c r="N396" i="384"/>
  <c r="M396" i="384"/>
  <c r="L396" i="384"/>
  <c r="K396" i="384"/>
  <c r="O395" i="384"/>
  <c r="N395" i="384"/>
  <c r="M395" i="384"/>
  <c r="L395" i="384"/>
  <c r="K395" i="384"/>
  <c r="O394" i="384"/>
  <c r="N394" i="384"/>
  <c r="M394" i="384"/>
  <c r="L394" i="384"/>
  <c r="K394" i="384"/>
  <c r="O393" i="384"/>
  <c r="N393" i="384"/>
  <c r="M393" i="384"/>
  <c r="L393" i="384"/>
  <c r="K393" i="384"/>
  <c r="O392" i="384"/>
  <c r="N392" i="384"/>
  <c r="M392" i="384"/>
  <c r="L392" i="384"/>
  <c r="K392" i="384"/>
  <c r="O391" i="384"/>
  <c r="N391" i="384"/>
  <c r="M391" i="384"/>
  <c r="L391" i="384"/>
  <c r="K391" i="384"/>
  <c r="O390" i="384"/>
  <c r="N390" i="384"/>
  <c r="M390" i="384"/>
  <c r="L390" i="384"/>
  <c r="K390" i="384"/>
  <c r="O389" i="384"/>
  <c r="N389" i="384"/>
  <c r="M389" i="384"/>
  <c r="L389" i="384"/>
  <c r="K389" i="384"/>
  <c r="O388" i="384"/>
  <c r="N388" i="384"/>
  <c r="M388" i="384"/>
  <c r="L388" i="384"/>
  <c r="K388" i="384"/>
  <c r="O387" i="384"/>
  <c r="N387" i="384"/>
  <c r="M387" i="384"/>
  <c r="L387" i="384"/>
  <c r="K387" i="384"/>
  <c r="O386" i="384"/>
  <c r="N386" i="384"/>
  <c r="M386" i="384"/>
  <c r="L386" i="384"/>
  <c r="K386" i="384"/>
  <c r="O385" i="384"/>
  <c r="N385" i="384"/>
  <c r="M385" i="384"/>
  <c r="L385" i="384"/>
  <c r="K385" i="384"/>
  <c r="O384" i="384"/>
  <c r="N384" i="384"/>
  <c r="M384" i="384"/>
  <c r="L384" i="384"/>
  <c r="K384" i="384"/>
  <c r="O383" i="384"/>
  <c r="N383" i="384"/>
  <c r="M383" i="384"/>
  <c r="L383" i="384"/>
  <c r="K383" i="384"/>
  <c r="O382" i="384"/>
  <c r="N382" i="384"/>
  <c r="M382" i="384"/>
  <c r="L382" i="384"/>
  <c r="K382" i="384"/>
  <c r="O381" i="384"/>
  <c r="N381" i="384"/>
  <c r="M381" i="384"/>
  <c r="L381" i="384"/>
  <c r="K381" i="384"/>
  <c r="O380" i="384"/>
  <c r="N380" i="384"/>
  <c r="M380" i="384"/>
  <c r="L380" i="384"/>
  <c r="K380" i="384"/>
  <c r="O379" i="384"/>
  <c r="N379" i="384"/>
  <c r="M379" i="384"/>
  <c r="L379" i="384"/>
  <c r="K379" i="384"/>
  <c r="O378" i="384"/>
  <c r="N378" i="384"/>
  <c r="M378" i="384"/>
  <c r="L378" i="384"/>
  <c r="K378" i="384"/>
  <c r="O377" i="384"/>
  <c r="N377" i="384"/>
  <c r="M377" i="384"/>
  <c r="L377" i="384"/>
  <c r="K377" i="384"/>
  <c r="O376" i="384"/>
  <c r="N376" i="384"/>
  <c r="M376" i="384"/>
  <c r="L376" i="384"/>
  <c r="K376" i="384"/>
  <c r="O375" i="384"/>
  <c r="N375" i="384"/>
  <c r="M375" i="384"/>
  <c r="L375" i="384"/>
  <c r="K375" i="384"/>
  <c r="O374" i="384"/>
  <c r="N374" i="384"/>
  <c r="M374" i="384"/>
  <c r="L374" i="384"/>
  <c r="K374" i="384"/>
  <c r="O373" i="384"/>
  <c r="N373" i="384"/>
  <c r="M373" i="384"/>
  <c r="L373" i="384"/>
  <c r="K373" i="384"/>
  <c r="O372" i="384"/>
  <c r="N372" i="384"/>
  <c r="M372" i="384"/>
  <c r="L372" i="384"/>
  <c r="K372" i="384"/>
  <c r="O371" i="384"/>
  <c r="N371" i="384"/>
  <c r="M371" i="384"/>
  <c r="L371" i="384"/>
  <c r="K371" i="384"/>
  <c r="O370" i="384"/>
  <c r="N370" i="384"/>
  <c r="M370" i="384"/>
  <c r="L370" i="384"/>
  <c r="K370" i="384"/>
  <c r="O369" i="384"/>
  <c r="N369" i="384"/>
  <c r="M369" i="384"/>
  <c r="L369" i="384"/>
  <c r="K369" i="384"/>
  <c r="O368" i="384"/>
  <c r="N368" i="384"/>
  <c r="M368" i="384"/>
  <c r="L368" i="384"/>
  <c r="K368" i="384"/>
  <c r="O367" i="384"/>
  <c r="N367" i="384"/>
  <c r="M367" i="384"/>
  <c r="L367" i="384"/>
  <c r="K367" i="384"/>
  <c r="O366" i="384"/>
  <c r="N366" i="384"/>
  <c r="M366" i="384"/>
  <c r="L366" i="384"/>
  <c r="K366" i="384"/>
  <c r="O365" i="384"/>
  <c r="N365" i="384"/>
  <c r="M365" i="384"/>
  <c r="L365" i="384"/>
  <c r="K365" i="384"/>
  <c r="O364" i="384"/>
  <c r="N364" i="384"/>
  <c r="M364" i="384"/>
  <c r="L364" i="384"/>
  <c r="K364" i="384"/>
  <c r="O363" i="384"/>
  <c r="N363" i="384"/>
  <c r="M363" i="384"/>
  <c r="L363" i="384"/>
  <c r="K363" i="384"/>
  <c r="O362" i="384"/>
  <c r="N362" i="384"/>
  <c r="M362" i="384"/>
  <c r="L362" i="384"/>
  <c r="K362" i="384"/>
  <c r="O361" i="384"/>
  <c r="N361" i="384"/>
  <c r="M361" i="384"/>
  <c r="L361" i="384"/>
  <c r="K361" i="384"/>
  <c r="O360" i="384"/>
  <c r="N360" i="384"/>
  <c r="M360" i="384"/>
  <c r="L360" i="384"/>
  <c r="K360" i="384"/>
  <c r="O359" i="384"/>
  <c r="N359" i="384"/>
  <c r="M359" i="384"/>
  <c r="L359" i="384"/>
  <c r="K359" i="384"/>
  <c r="O358" i="384"/>
  <c r="N358" i="384"/>
  <c r="M358" i="384"/>
  <c r="L358" i="384"/>
  <c r="K358" i="384"/>
  <c r="O357" i="384"/>
  <c r="N357" i="384"/>
  <c r="M357" i="384"/>
  <c r="L357" i="384"/>
  <c r="K357" i="384"/>
  <c r="O356" i="384"/>
  <c r="N356" i="384"/>
  <c r="M356" i="384"/>
  <c r="L356" i="384"/>
  <c r="K356" i="384"/>
  <c r="O355" i="384"/>
  <c r="N355" i="384"/>
  <c r="M355" i="384"/>
  <c r="L355" i="384"/>
  <c r="K355" i="384"/>
  <c r="O354" i="384"/>
  <c r="N354" i="384"/>
  <c r="M354" i="384"/>
  <c r="L354" i="384"/>
  <c r="K354" i="384"/>
  <c r="O353" i="384"/>
  <c r="N353" i="384"/>
  <c r="M353" i="384"/>
  <c r="L353" i="384"/>
  <c r="K353" i="384"/>
  <c r="O352" i="384"/>
  <c r="N352" i="384"/>
  <c r="M352" i="384"/>
  <c r="L352" i="384"/>
  <c r="K352" i="384"/>
  <c r="O351" i="384"/>
  <c r="N351" i="384"/>
  <c r="M351" i="384"/>
  <c r="L351" i="384"/>
  <c r="K351" i="384"/>
  <c r="O350" i="384"/>
  <c r="N350" i="384"/>
  <c r="M350" i="384"/>
  <c r="L350" i="384"/>
  <c r="K350" i="384"/>
  <c r="O349" i="384"/>
  <c r="N349" i="384"/>
  <c r="M349" i="384"/>
  <c r="L349" i="384"/>
  <c r="K349" i="384"/>
  <c r="O348" i="384"/>
  <c r="N348" i="384"/>
  <c r="M348" i="384"/>
  <c r="L348" i="384"/>
  <c r="K348" i="384"/>
  <c r="O347" i="384"/>
  <c r="N347" i="384"/>
  <c r="M347" i="384"/>
  <c r="L347" i="384"/>
  <c r="K347" i="384"/>
  <c r="O346" i="384"/>
  <c r="N346" i="384"/>
  <c r="M346" i="384"/>
  <c r="L346" i="384"/>
  <c r="K346" i="384"/>
  <c r="O345" i="384"/>
  <c r="N345" i="384"/>
  <c r="M345" i="384"/>
  <c r="L345" i="384"/>
  <c r="K345" i="384"/>
  <c r="O344" i="384"/>
  <c r="N344" i="384"/>
  <c r="M344" i="384"/>
  <c r="L344" i="384"/>
  <c r="K344" i="384"/>
  <c r="O343" i="384"/>
  <c r="N343" i="384"/>
  <c r="M343" i="384"/>
  <c r="L343" i="384"/>
  <c r="K343" i="384"/>
  <c r="O342" i="384"/>
  <c r="N342" i="384"/>
  <c r="M342" i="384"/>
  <c r="L342" i="384"/>
  <c r="K342" i="384"/>
  <c r="O341" i="384"/>
  <c r="N341" i="384"/>
  <c r="M341" i="384"/>
  <c r="L341" i="384"/>
  <c r="K341" i="384"/>
  <c r="O340" i="384"/>
  <c r="N340" i="384"/>
  <c r="M340" i="384"/>
  <c r="L340" i="384"/>
  <c r="K340" i="384"/>
  <c r="O339" i="384"/>
  <c r="N339" i="384"/>
  <c r="M339" i="384"/>
  <c r="L339" i="384"/>
  <c r="K339" i="384"/>
  <c r="O338" i="384"/>
  <c r="N338" i="384"/>
  <c r="M338" i="384"/>
  <c r="L338" i="384"/>
  <c r="K338" i="384"/>
  <c r="O337" i="384"/>
  <c r="N337" i="384"/>
  <c r="M337" i="384"/>
  <c r="L337" i="384"/>
  <c r="K337" i="384"/>
  <c r="O336" i="384"/>
  <c r="N336" i="384"/>
  <c r="M336" i="384"/>
  <c r="L336" i="384"/>
  <c r="K336" i="384"/>
  <c r="O335" i="384"/>
  <c r="N335" i="384"/>
  <c r="M335" i="384"/>
  <c r="L335" i="384"/>
  <c r="K335" i="384"/>
  <c r="O334" i="384"/>
  <c r="N334" i="384"/>
  <c r="M334" i="384"/>
  <c r="L334" i="384"/>
  <c r="K334" i="384"/>
  <c r="O333" i="384"/>
  <c r="N333" i="384"/>
  <c r="M333" i="384"/>
  <c r="L333" i="384"/>
  <c r="K333" i="384"/>
  <c r="O332" i="384"/>
  <c r="N332" i="384"/>
  <c r="M332" i="384"/>
  <c r="L332" i="384"/>
  <c r="K332" i="384"/>
  <c r="O331" i="384"/>
  <c r="N331" i="384"/>
  <c r="M331" i="384"/>
  <c r="L331" i="384"/>
  <c r="K331" i="384"/>
  <c r="O330" i="384"/>
  <c r="N330" i="384"/>
  <c r="M330" i="384"/>
  <c r="L330" i="384"/>
  <c r="K330" i="384"/>
  <c r="O329" i="384"/>
  <c r="N329" i="384"/>
  <c r="M329" i="384"/>
  <c r="L329" i="384"/>
  <c r="K329" i="384"/>
  <c r="O328" i="384"/>
  <c r="N328" i="384"/>
  <c r="M328" i="384"/>
  <c r="L328" i="384"/>
  <c r="K328" i="384"/>
  <c r="O327" i="384"/>
  <c r="N327" i="384"/>
  <c r="M327" i="384"/>
  <c r="L327" i="384"/>
  <c r="K327" i="384"/>
  <c r="O326" i="384"/>
  <c r="N326" i="384"/>
  <c r="M326" i="384"/>
  <c r="L326" i="384"/>
  <c r="K326" i="384"/>
  <c r="O325" i="384"/>
  <c r="N325" i="384"/>
  <c r="M325" i="384"/>
  <c r="L325" i="384"/>
  <c r="K325" i="384"/>
  <c r="O324" i="384"/>
  <c r="N324" i="384"/>
  <c r="M324" i="384"/>
  <c r="L324" i="384"/>
  <c r="K324" i="384"/>
  <c r="O323" i="384"/>
  <c r="N323" i="384"/>
  <c r="M323" i="384"/>
  <c r="L323" i="384"/>
  <c r="K323" i="384"/>
  <c r="O322" i="384"/>
  <c r="N322" i="384"/>
  <c r="M322" i="384"/>
  <c r="L322" i="384"/>
  <c r="K322" i="384"/>
  <c r="O321" i="384"/>
  <c r="N321" i="384"/>
  <c r="M321" i="384"/>
  <c r="L321" i="384"/>
  <c r="K321" i="384"/>
  <c r="O320" i="384"/>
  <c r="N320" i="384"/>
  <c r="M320" i="384"/>
  <c r="L320" i="384"/>
  <c r="K320" i="384"/>
  <c r="O319" i="384"/>
  <c r="N319" i="384"/>
  <c r="M319" i="384"/>
  <c r="L319" i="384"/>
  <c r="K319" i="384"/>
  <c r="O318" i="384"/>
  <c r="N318" i="384"/>
  <c r="M318" i="384"/>
  <c r="L318" i="384"/>
  <c r="K318" i="384"/>
  <c r="O317" i="384"/>
  <c r="N317" i="384"/>
  <c r="M317" i="384"/>
  <c r="L317" i="384"/>
  <c r="K317" i="384"/>
  <c r="O316" i="384"/>
  <c r="N316" i="384"/>
  <c r="M316" i="384"/>
  <c r="L316" i="384"/>
  <c r="K316" i="384"/>
  <c r="O315" i="384"/>
  <c r="N315" i="384"/>
  <c r="M315" i="384"/>
  <c r="L315" i="384"/>
  <c r="K315" i="384"/>
  <c r="O314" i="384"/>
  <c r="N314" i="384"/>
  <c r="M314" i="384"/>
  <c r="L314" i="384"/>
  <c r="K314" i="384"/>
  <c r="O313" i="384"/>
  <c r="N313" i="384"/>
  <c r="M313" i="384"/>
  <c r="L313" i="384"/>
  <c r="K313" i="384"/>
  <c r="O312" i="384"/>
  <c r="N312" i="384"/>
  <c r="M312" i="384"/>
  <c r="L312" i="384"/>
  <c r="K312" i="384"/>
  <c r="O311" i="384"/>
  <c r="N311" i="384"/>
  <c r="M311" i="384"/>
  <c r="L311" i="384"/>
  <c r="K311" i="384"/>
  <c r="O310" i="384"/>
  <c r="N310" i="384"/>
  <c r="M310" i="384"/>
  <c r="L310" i="384"/>
  <c r="K310" i="384"/>
  <c r="O309" i="384"/>
  <c r="N309" i="384"/>
  <c r="M309" i="384"/>
  <c r="L309" i="384"/>
  <c r="K309" i="384"/>
  <c r="O308" i="384"/>
  <c r="N308" i="384"/>
  <c r="M308" i="384"/>
  <c r="L308" i="384"/>
  <c r="K308" i="384"/>
  <c r="O307" i="384"/>
  <c r="N307" i="384"/>
  <c r="M307" i="384"/>
  <c r="L307" i="384"/>
  <c r="K307" i="384"/>
  <c r="O306" i="384"/>
  <c r="N306" i="384"/>
  <c r="M306" i="384"/>
  <c r="L306" i="384"/>
  <c r="K306" i="384"/>
  <c r="O305" i="384"/>
  <c r="N305" i="384"/>
  <c r="M305" i="384"/>
  <c r="L305" i="384"/>
  <c r="K305" i="384"/>
  <c r="O304" i="384"/>
  <c r="N304" i="384"/>
  <c r="M304" i="384"/>
  <c r="L304" i="384"/>
  <c r="K304" i="384"/>
  <c r="O303" i="384"/>
  <c r="N303" i="384"/>
  <c r="M303" i="384"/>
  <c r="L303" i="384"/>
  <c r="K303" i="384"/>
  <c r="O302" i="384"/>
  <c r="N302" i="384"/>
  <c r="M302" i="384"/>
  <c r="L302" i="384"/>
  <c r="K302" i="384"/>
  <c r="O301" i="384"/>
  <c r="N301" i="384"/>
  <c r="M301" i="384"/>
  <c r="L301" i="384"/>
  <c r="K301" i="384"/>
  <c r="O300" i="384"/>
  <c r="N300" i="384"/>
  <c r="M300" i="384"/>
  <c r="L300" i="384"/>
  <c r="K300" i="384"/>
  <c r="O299" i="384"/>
  <c r="N299" i="384"/>
  <c r="M299" i="384"/>
  <c r="L299" i="384"/>
  <c r="K299" i="384"/>
  <c r="O298" i="384"/>
  <c r="N298" i="384"/>
  <c r="M298" i="384"/>
  <c r="L298" i="384"/>
  <c r="K298" i="384"/>
  <c r="O297" i="384"/>
  <c r="N297" i="384"/>
  <c r="M297" i="384"/>
  <c r="L297" i="384"/>
  <c r="K297" i="384"/>
  <c r="O296" i="384"/>
  <c r="N296" i="384"/>
  <c r="M296" i="384"/>
  <c r="L296" i="384"/>
  <c r="K296" i="384"/>
  <c r="O295" i="384"/>
  <c r="N295" i="384"/>
  <c r="M295" i="384"/>
  <c r="L295" i="384"/>
  <c r="K295" i="384"/>
  <c r="O294" i="384"/>
  <c r="N294" i="384"/>
  <c r="M294" i="384"/>
  <c r="L294" i="384"/>
  <c r="K294" i="384"/>
  <c r="O293" i="384"/>
  <c r="N293" i="384"/>
  <c r="M293" i="384"/>
  <c r="L293" i="384"/>
  <c r="K293" i="384"/>
  <c r="O292" i="384"/>
  <c r="N292" i="384"/>
  <c r="M292" i="384"/>
  <c r="L292" i="384"/>
  <c r="K292" i="384"/>
  <c r="O291" i="384"/>
  <c r="N291" i="384"/>
  <c r="M291" i="384"/>
  <c r="L291" i="384"/>
  <c r="K291" i="384"/>
  <c r="O290" i="384"/>
  <c r="N290" i="384"/>
  <c r="M290" i="384"/>
  <c r="L290" i="384"/>
  <c r="K290" i="384"/>
  <c r="O289" i="384"/>
  <c r="N289" i="384"/>
  <c r="M289" i="384"/>
  <c r="L289" i="384"/>
  <c r="K289" i="384"/>
  <c r="O288" i="384"/>
  <c r="N288" i="384"/>
  <c r="M288" i="384"/>
  <c r="L288" i="384"/>
  <c r="K288" i="384"/>
  <c r="O287" i="384"/>
  <c r="N287" i="384"/>
  <c r="M287" i="384"/>
  <c r="L287" i="384"/>
  <c r="K287" i="384"/>
  <c r="O286" i="384"/>
  <c r="N286" i="384"/>
  <c r="M286" i="384"/>
  <c r="L286" i="384"/>
  <c r="K286" i="384"/>
  <c r="O285" i="384"/>
  <c r="N285" i="384"/>
  <c r="M285" i="384"/>
  <c r="L285" i="384"/>
  <c r="K285" i="384"/>
  <c r="O284" i="384"/>
  <c r="N284" i="384"/>
  <c r="M284" i="384"/>
  <c r="L284" i="384"/>
  <c r="K284" i="384"/>
  <c r="O283" i="384"/>
  <c r="N283" i="384"/>
  <c r="M283" i="384"/>
  <c r="L283" i="384"/>
  <c r="K283" i="384"/>
  <c r="O282" i="384"/>
  <c r="N282" i="384"/>
  <c r="M282" i="384"/>
  <c r="L282" i="384"/>
  <c r="K282" i="384"/>
  <c r="O281" i="384"/>
  <c r="N281" i="384"/>
  <c r="M281" i="384"/>
  <c r="L281" i="384"/>
  <c r="K281" i="384"/>
  <c r="O280" i="384"/>
  <c r="N280" i="384"/>
  <c r="M280" i="384"/>
  <c r="L280" i="384"/>
  <c r="K280" i="384"/>
  <c r="O279" i="384"/>
  <c r="N279" i="384"/>
  <c r="M279" i="384"/>
  <c r="L279" i="384"/>
  <c r="K279" i="384"/>
  <c r="O278" i="384"/>
  <c r="N278" i="384"/>
  <c r="M278" i="384"/>
  <c r="L278" i="384"/>
  <c r="K278" i="384"/>
  <c r="O277" i="384"/>
  <c r="N277" i="384"/>
  <c r="M277" i="384"/>
  <c r="L277" i="384"/>
  <c r="K277" i="384"/>
  <c r="O276" i="384"/>
  <c r="N276" i="384"/>
  <c r="M276" i="384"/>
  <c r="L276" i="384"/>
  <c r="K276" i="384"/>
  <c r="O275" i="384"/>
  <c r="N275" i="384"/>
  <c r="M275" i="384"/>
  <c r="L275" i="384"/>
  <c r="K275" i="384"/>
  <c r="O274" i="384"/>
  <c r="N274" i="384"/>
  <c r="M274" i="384"/>
  <c r="L274" i="384"/>
  <c r="K274" i="384"/>
  <c r="O273" i="384"/>
  <c r="N273" i="384"/>
  <c r="M273" i="384"/>
  <c r="L273" i="384"/>
  <c r="K273" i="384"/>
  <c r="O272" i="384"/>
  <c r="N272" i="384"/>
  <c r="M272" i="384"/>
  <c r="L272" i="384"/>
  <c r="K272" i="384"/>
  <c r="O271" i="384"/>
  <c r="N271" i="384"/>
  <c r="M271" i="384"/>
  <c r="L271" i="384"/>
  <c r="K271" i="384"/>
  <c r="O270" i="384"/>
  <c r="N270" i="384"/>
  <c r="M270" i="384"/>
  <c r="L270" i="384"/>
  <c r="K270" i="384"/>
  <c r="O269" i="384"/>
  <c r="N269" i="384"/>
  <c r="M269" i="384"/>
  <c r="L269" i="384"/>
  <c r="K269" i="384"/>
  <c r="O268" i="384"/>
  <c r="N268" i="384"/>
  <c r="M268" i="384"/>
  <c r="L268" i="384"/>
  <c r="K268" i="384"/>
  <c r="O267" i="384"/>
  <c r="N267" i="384"/>
  <c r="M267" i="384"/>
  <c r="L267" i="384"/>
  <c r="K267" i="384"/>
  <c r="O266" i="384"/>
  <c r="N266" i="384"/>
  <c r="M266" i="384"/>
  <c r="L266" i="384"/>
  <c r="K266" i="384"/>
  <c r="O265" i="384"/>
  <c r="N265" i="384"/>
  <c r="M265" i="384"/>
  <c r="L265" i="384"/>
  <c r="K265" i="384"/>
  <c r="O264" i="384"/>
  <c r="N264" i="384"/>
  <c r="M264" i="384"/>
  <c r="L264" i="384"/>
  <c r="K264" i="384"/>
  <c r="O263" i="384"/>
  <c r="N263" i="384"/>
  <c r="M263" i="384"/>
  <c r="L263" i="384"/>
  <c r="K263" i="384"/>
  <c r="O262" i="384"/>
  <c r="N262" i="384"/>
  <c r="M262" i="384"/>
  <c r="L262" i="384"/>
  <c r="K262" i="384"/>
  <c r="O261" i="384"/>
  <c r="N261" i="384"/>
  <c r="M261" i="384"/>
  <c r="L261" i="384"/>
  <c r="K261" i="384"/>
  <c r="O260" i="384"/>
  <c r="N260" i="384"/>
  <c r="M260" i="384"/>
  <c r="L260" i="384"/>
  <c r="K260" i="384"/>
  <c r="O259" i="384"/>
  <c r="N259" i="384"/>
  <c r="M259" i="384"/>
  <c r="L259" i="384"/>
  <c r="K259" i="384"/>
  <c r="O258" i="384"/>
  <c r="N258" i="384"/>
  <c r="M258" i="384"/>
  <c r="L258" i="384"/>
  <c r="K258" i="384"/>
  <c r="O257" i="384"/>
  <c r="N257" i="384"/>
  <c r="M257" i="384"/>
  <c r="L257" i="384"/>
  <c r="K257" i="384"/>
  <c r="O256" i="384"/>
  <c r="N256" i="384"/>
  <c r="M256" i="384"/>
  <c r="L256" i="384"/>
  <c r="K256" i="384"/>
  <c r="O255" i="384"/>
  <c r="N255" i="384"/>
  <c r="M255" i="384"/>
  <c r="L255" i="384"/>
  <c r="K255" i="384"/>
  <c r="O254" i="384"/>
  <c r="N254" i="384"/>
  <c r="M254" i="384"/>
  <c r="L254" i="384"/>
  <c r="K254" i="384"/>
  <c r="O253" i="384"/>
  <c r="N253" i="384"/>
  <c r="M253" i="384"/>
  <c r="L253" i="384"/>
  <c r="K253" i="384"/>
  <c r="O252" i="384"/>
  <c r="N252" i="384"/>
  <c r="M252" i="384"/>
  <c r="L252" i="384"/>
  <c r="K252" i="384"/>
  <c r="O251" i="384"/>
  <c r="N251" i="384"/>
  <c r="M251" i="384"/>
  <c r="L251" i="384"/>
  <c r="K251" i="384"/>
  <c r="O250" i="384"/>
  <c r="N250" i="384"/>
  <c r="M250" i="384"/>
  <c r="L250" i="384"/>
  <c r="K250" i="384"/>
  <c r="O249" i="384"/>
  <c r="N249" i="384"/>
  <c r="M249" i="384"/>
  <c r="L249" i="384"/>
  <c r="K249" i="384"/>
  <c r="O248" i="384"/>
  <c r="N248" i="384"/>
  <c r="M248" i="384"/>
  <c r="L248" i="384"/>
  <c r="K248" i="384"/>
  <c r="O247" i="384"/>
  <c r="N247" i="384"/>
  <c r="M247" i="384"/>
  <c r="L247" i="384"/>
  <c r="K247" i="384"/>
  <c r="O246" i="384"/>
  <c r="N246" i="384"/>
  <c r="M246" i="384"/>
  <c r="L246" i="384"/>
  <c r="K246" i="384"/>
  <c r="O245" i="384"/>
  <c r="N245" i="384"/>
  <c r="M245" i="384"/>
  <c r="L245" i="384"/>
  <c r="K245" i="384"/>
  <c r="O244" i="384"/>
  <c r="N244" i="384"/>
  <c r="M244" i="384"/>
  <c r="L244" i="384"/>
  <c r="K244" i="384"/>
  <c r="O243" i="384"/>
  <c r="N243" i="384"/>
  <c r="M243" i="384"/>
  <c r="L243" i="384"/>
  <c r="K243" i="384"/>
  <c r="O242" i="384"/>
  <c r="N242" i="384"/>
  <c r="M242" i="384"/>
  <c r="L242" i="384"/>
  <c r="K242" i="384"/>
  <c r="O241" i="384"/>
  <c r="N241" i="384"/>
  <c r="M241" i="384"/>
  <c r="L241" i="384"/>
  <c r="K241" i="384"/>
  <c r="O240" i="384"/>
  <c r="N240" i="384"/>
  <c r="M240" i="384"/>
  <c r="L240" i="384"/>
  <c r="K240" i="384"/>
  <c r="O239" i="384"/>
  <c r="N239" i="384"/>
  <c r="M239" i="384"/>
  <c r="L239" i="384"/>
  <c r="K239" i="384"/>
  <c r="O238" i="384"/>
  <c r="N238" i="384"/>
  <c r="M238" i="384"/>
  <c r="L238" i="384"/>
  <c r="K238" i="384"/>
  <c r="O237" i="384"/>
  <c r="N237" i="384"/>
  <c r="M237" i="384"/>
  <c r="L237" i="384"/>
  <c r="K237" i="384"/>
  <c r="O236" i="384"/>
  <c r="N236" i="384"/>
  <c r="M236" i="384"/>
  <c r="L236" i="384"/>
  <c r="K236" i="384"/>
  <c r="O235" i="384"/>
  <c r="N235" i="384"/>
  <c r="M235" i="384"/>
  <c r="L235" i="384"/>
  <c r="K235" i="384"/>
  <c r="O234" i="384"/>
  <c r="N234" i="384"/>
  <c r="M234" i="384"/>
  <c r="L234" i="384"/>
  <c r="K234" i="384"/>
  <c r="O233" i="384"/>
  <c r="N233" i="384"/>
  <c r="M233" i="384"/>
  <c r="L233" i="384"/>
  <c r="K233" i="384"/>
  <c r="O232" i="384"/>
  <c r="N232" i="384"/>
  <c r="M232" i="384"/>
  <c r="L232" i="384"/>
  <c r="K232" i="384"/>
  <c r="O231" i="384"/>
  <c r="N231" i="384"/>
  <c r="M231" i="384"/>
  <c r="L231" i="384"/>
  <c r="K231" i="384"/>
  <c r="O230" i="384"/>
  <c r="N230" i="384"/>
  <c r="M230" i="384"/>
  <c r="L230" i="384"/>
  <c r="K230" i="384"/>
  <c r="O229" i="384"/>
  <c r="N229" i="384"/>
  <c r="M229" i="384"/>
  <c r="L229" i="384"/>
  <c r="K229" i="384"/>
  <c r="O228" i="384"/>
  <c r="N228" i="384"/>
  <c r="M228" i="384"/>
  <c r="L228" i="384"/>
  <c r="K228" i="384"/>
  <c r="O227" i="384"/>
  <c r="N227" i="384"/>
  <c r="M227" i="384"/>
  <c r="L227" i="384"/>
  <c r="K227" i="384"/>
  <c r="O226" i="384"/>
  <c r="N226" i="384"/>
  <c r="M226" i="384"/>
  <c r="L226" i="384"/>
  <c r="K226" i="384"/>
  <c r="O225" i="384"/>
  <c r="N225" i="384"/>
  <c r="M225" i="384"/>
  <c r="L225" i="384"/>
  <c r="K225" i="384"/>
  <c r="O224" i="384"/>
  <c r="N224" i="384"/>
  <c r="M224" i="384"/>
  <c r="L224" i="384"/>
  <c r="K224" i="384"/>
  <c r="O223" i="384"/>
  <c r="N223" i="384"/>
  <c r="M223" i="384"/>
  <c r="L223" i="384"/>
  <c r="K223" i="384"/>
  <c r="O222" i="384"/>
  <c r="N222" i="384"/>
  <c r="M222" i="384"/>
  <c r="L222" i="384"/>
  <c r="K222" i="384"/>
  <c r="O221" i="384"/>
  <c r="N221" i="384"/>
  <c r="M221" i="384"/>
  <c r="L221" i="384"/>
  <c r="K221" i="384"/>
  <c r="O220" i="384"/>
  <c r="N220" i="384"/>
  <c r="M220" i="384"/>
  <c r="L220" i="384"/>
  <c r="K220" i="384"/>
  <c r="O219" i="384"/>
  <c r="N219" i="384"/>
  <c r="M219" i="384"/>
  <c r="L219" i="384"/>
  <c r="K219" i="384"/>
  <c r="O218" i="384"/>
  <c r="N218" i="384"/>
  <c r="M218" i="384"/>
  <c r="L218" i="384"/>
  <c r="K218" i="384"/>
  <c r="O217" i="384"/>
  <c r="N217" i="384"/>
  <c r="M217" i="384"/>
  <c r="L217" i="384"/>
  <c r="K217" i="384"/>
  <c r="O216" i="384"/>
  <c r="N216" i="384"/>
  <c r="M216" i="384"/>
  <c r="L216" i="384"/>
  <c r="K216" i="384"/>
  <c r="O215" i="384"/>
  <c r="N215" i="384"/>
  <c r="M215" i="384"/>
  <c r="L215" i="384"/>
  <c r="K215" i="384"/>
  <c r="O214" i="384"/>
  <c r="N214" i="384"/>
  <c r="M214" i="384"/>
  <c r="L214" i="384"/>
  <c r="K214" i="384"/>
  <c r="O213" i="384"/>
  <c r="N213" i="384"/>
  <c r="M213" i="384"/>
  <c r="L213" i="384"/>
  <c r="K213" i="384"/>
  <c r="O212" i="384"/>
  <c r="N212" i="384"/>
  <c r="M212" i="384"/>
  <c r="L212" i="384"/>
  <c r="K212" i="384"/>
  <c r="O211" i="384"/>
  <c r="N211" i="384"/>
  <c r="M211" i="384"/>
  <c r="L211" i="384"/>
  <c r="K211" i="384"/>
  <c r="O210" i="384"/>
  <c r="N210" i="384"/>
  <c r="M210" i="384"/>
  <c r="L210" i="384"/>
  <c r="K210" i="384"/>
  <c r="O209" i="384"/>
  <c r="N209" i="384"/>
  <c r="M209" i="384"/>
  <c r="L209" i="384"/>
  <c r="K209" i="384"/>
  <c r="O208" i="384"/>
  <c r="N208" i="384"/>
  <c r="M208" i="384"/>
  <c r="L208" i="384"/>
  <c r="K208" i="384"/>
  <c r="O207" i="384"/>
  <c r="N207" i="384"/>
  <c r="M207" i="384"/>
  <c r="L207" i="384"/>
  <c r="K207" i="384"/>
  <c r="O206" i="384"/>
  <c r="N206" i="384"/>
  <c r="M206" i="384"/>
  <c r="L206" i="384"/>
  <c r="K206" i="384"/>
  <c r="O205" i="384"/>
  <c r="N205" i="384"/>
  <c r="M205" i="384"/>
  <c r="L205" i="384"/>
  <c r="K205" i="384"/>
  <c r="O204" i="384"/>
  <c r="N204" i="384"/>
  <c r="M204" i="384"/>
  <c r="L204" i="384"/>
  <c r="K204" i="384"/>
  <c r="O203" i="384"/>
  <c r="N203" i="384"/>
  <c r="M203" i="384"/>
  <c r="L203" i="384"/>
  <c r="K203" i="384"/>
  <c r="O202" i="384"/>
  <c r="N202" i="384"/>
  <c r="M202" i="384"/>
  <c r="L202" i="384"/>
  <c r="K202" i="384"/>
  <c r="O201" i="384"/>
  <c r="N201" i="384"/>
  <c r="M201" i="384"/>
  <c r="L201" i="384"/>
  <c r="K201" i="384"/>
  <c r="O200" i="384"/>
  <c r="N200" i="384"/>
  <c r="M200" i="384"/>
  <c r="L200" i="384"/>
  <c r="K200" i="384"/>
  <c r="O199" i="384"/>
  <c r="N199" i="384"/>
  <c r="M199" i="384"/>
  <c r="L199" i="384"/>
  <c r="K199" i="384"/>
  <c r="O198" i="384"/>
  <c r="N198" i="384"/>
  <c r="M198" i="384"/>
  <c r="L198" i="384"/>
  <c r="K198" i="384"/>
  <c r="O197" i="384"/>
  <c r="N197" i="384"/>
  <c r="M197" i="384"/>
  <c r="L197" i="384"/>
  <c r="K197" i="384"/>
  <c r="O196" i="384"/>
  <c r="N196" i="384"/>
  <c r="M196" i="384"/>
  <c r="L196" i="384"/>
  <c r="K196" i="384"/>
  <c r="O195" i="384"/>
  <c r="N195" i="384"/>
  <c r="M195" i="384"/>
  <c r="L195" i="384"/>
  <c r="K195" i="384"/>
  <c r="O194" i="384"/>
  <c r="N194" i="384"/>
  <c r="M194" i="384"/>
  <c r="L194" i="384"/>
  <c r="K194" i="384"/>
  <c r="O193" i="384"/>
  <c r="N193" i="384"/>
  <c r="M193" i="384"/>
  <c r="L193" i="384"/>
  <c r="K193" i="384"/>
  <c r="O192" i="384"/>
  <c r="N192" i="384"/>
  <c r="M192" i="384"/>
  <c r="L192" i="384"/>
  <c r="K192" i="384"/>
  <c r="O191" i="384"/>
  <c r="N191" i="384"/>
  <c r="M191" i="384"/>
  <c r="L191" i="384"/>
  <c r="K191" i="384"/>
  <c r="O190" i="384"/>
  <c r="N190" i="384"/>
  <c r="M190" i="384"/>
  <c r="L190" i="384"/>
  <c r="K190" i="384"/>
  <c r="O189" i="384"/>
  <c r="N189" i="384"/>
  <c r="M189" i="384"/>
  <c r="L189" i="384"/>
  <c r="K189" i="384"/>
  <c r="O188" i="384"/>
  <c r="N188" i="384"/>
  <c r="M188" i="384"/>
  <c r="L188" i="384"/>
  <c r="K188" i="384"/>
  <c r="O187" i="384"/>
  <c r="N187" i="384"/>
  <c r="M187" i="384"/>
  <c r="L187" i="384"/>
  <c r="K187" i="384"/>
  <c r="O186" i="384"/>
  <c r="N186" i="384"/>
  <c r="M186" i="384"/>
  <c r="L186" i="384"/>
  <c r="K186" i="384"/>
  <c r="O185" i="384"/>
  <c r="N185" i="384"/>
  <c r="M185" i="384"/>
  <c r="L185" i="384"/>
  <c r="K185" i="384"/>
  <c r="O184" i="384"/>
  <c r="N184" i="384"/>
  <c r="M184" i="384"/>
  <c r="L184" i="384"/>
  <c r="K184" i="384"/>
  <c r="O183" i="384"/>
  <c r="N183" i="384"/>
  <c r="M183" i="384"/>
  <c r="L183" i="384"/>
  <c r="K183" i="384"/>
  <c r="O182" i="384"/>
  <c r="N182" i="384"/>
  <c r="M182" i="384"/>
  <c r="L182" i="384"/>
  <c r="K182" i="384"/>
  <c r="O181" i="384"/>
  <c r="N181" i="384"/>
  <c r="M181" i="384"/>
  <c r="L181" i="384"/>
  <c r="K181" i="384"/>
  <c r="O180" i="384"/>
  <c r="N180" i="384"/>
  <c r="M180" i="384"/>
  <c r="L180" i="384"/>
  <c r="K180" i="384"/>
  <c r="O179" i="384"/>
  <c r="N179" i="384"/>
  <c r="M179" i="384"/>
  <c r="L179" i="384"/>
  <c r="K179" i="384"/>
  <c r="O178" i="384"/>
  <c r="N178" i="384"/>
  <c r="M178" i="384"/>
  <c r="L178" i="384"/>
  <c r="K178" i="384"/>
  <c r="O177" i="384"/>
  <c r="N177" i="384"/>
  <c r="M177" i="384"/>
  <c r="L177" i="384"/>
  <c r="K177" i="384"/>
  <c r="O176" i="384"/>
  <c r="N176" i="384"/>
  <c r="M176" i="384"/>
  <c r="L176" i="384"/>
  <c r="K176" i="384"/>
  <c r="O175" i="384"/>
  <c r="N175" i="384"/>
  <c r="M175" i="384"/>
  <c r="L175" i="384"/>
  <c r="K175" i="384"/>
  <c r="O174" i="384"/>
  <c r="N174" i="384"/>
  <c r="M174" i="384"/>
  <c r="L174" i="384"/>
  <c r="K174" i="384"/>
  <c r="O173" i="384"/>
  <c r="N173" i="384"/>
  <c r="M173" i="384"/>
  <c r="L173" i="384"/>
  <c r="K173" i="384"/>
  <c r="O172" i="384"/>
  <c r="N172" i="384"/>
  <c r="M172" i="384"/>
  <c r="L172" i="384"/>
  <c r="K172" i="384"/>
  <c r="O171" i="384"/>
  <c r="N171" i="384"/>
  <c r="M171" i="384"/>
  <c r="L171" i="384"/>
  <c r="K171" i="384"/>
  <c r="O170" i="384"/>
  <c r="N170" i="384"/>
  <c r="M170" i="384"/>
  <c r="L170" i="384"/>
  <c r="K170" i="384"/>
  <c r="O169" i="384"/>
  <c r="N169" i="384"/>
  <c r="M169" i="384"/>
  <c r="L169" i="384"/>
  <c r="K169" i="384"/>
  <c r="O168" i="384"/>
  <c r="N168" i="384"/>
  <c r="M168" i="384"/>
  <c r="L168" i="384"/>
  <c r="K168" i="384"/>
  <c r="O167" i="384"/>
  <c r="N167" i="384"/>
  <c r="M167" i="384"/>
  <c r="L167" i="384"/>
  <c r="K167" i="384"/>
  <c r="O166" i="384"/>
  <c r="N166" i="384"/>
  <c r="M166" i="384"/>
  <c r="L166" i="384"/>
  <c r="K166" i="384"/>
  <c r="O165" i="384"/>
  <c r="N165" i="384"/>
  <c r="M165" i="384"/>
  <c r="L165" i="384"/>
  <c r="K165" i="384"/>
  <c r="O164" i="384"/>
  <c r="N164" i="384"/>
  <c r="M164" i="384"/>
  <c r="L164" i="384"/>
  <c r="K164" i="384"/>
  <c r="O163" i="384"/>
  <c r="N163" i="384"/>
  <c r="M163" i="384"/>
  <c r="L163" i="384"/>
  <c r="K163" i="384"/>
  <c r="O162" i="384"/>
  <c r="N162" i="384"/>
  <c r="M162" i="384"/>
  <c r="L162" i="384"/>
  <c r="K162" i="384"/>
  <c r="O161" i="384"/>
  <c r="N161" i="384"/>
  <c r="M161" i="384"/>
  <c r="L161" i="384"/>
  <c r="K161" i="384"/>
  <c r="O160" i="384"/>
  <c r="N160" i="384"/>
  <c r="M160" i="384"/>
  <c r="L160" i="384"/>
  <c r="K160" i="384"/>
  <c r="O159" i="384"/>
  <c r="N159" i="384"/>
  <c r="M159" i="384"/>
  <c r="L159" i="384"/>
  <c r="K159" i="384"/>
  <c r="O158" i="384"/>
  <c r="N158" i="384"/>
  <c r="M158" i="384"/>
  <c r="L158" i="384"/>
  <c r="K158" i="384"/>
  <c r="O157" i="384"/>
  <c r="N157" i="384"/>
  <c r="M157" i="384"/>
  <c r="L157" i="384"/>
  <c r="K157" i="384"/>
  <c r="O156" i="384"/>
  <c r="N156" i="384"/>
  <c r="M156" i="384"/>
  <c r="L156" i="384"/>
  <c r="K156" i="384"/>
  <c r="O155" i="384"/>
  <c r="N155" i="384"/>
  <c r="M155" i="384"/>
  <c r="L155" i="384"/>
  <c r="K155" i="384"/>
  <c r="O154" i="384"/>
  <c r="N154" i="384"/>
  <c r="M154" i="384"/>
  <c r="L154" i="384"/>
  <c r="K154" i="384"/>
  <c r="O153" i="384"/>
  <c r="N153" i="384"/>
  <c r="M153" i="384"/>
  <c r="L153" i="384"/>
  <c r="K153" i="384"/>
  <c r="O152" i="384"/>
  <c r="N152" i="384"/>
  <c r="M152" i="384"/>
  <c r="L152" i="384"/>
  <c r="K152" i="384"/>
  <c r="O151" i="384"/>
  <c r="N151" i="384"/>
  <c r="M151" i="384"/>
  <c r="L151" i="384"/>
  <c r="K151" i="384"/>
  <c r="O150" i="384"/>
  <c r="N150" i="384"/>
  <c r="M150" i="384"/>
  <c r="L150" i="384"/>
  <c r="K150" i="384"/>
  <c r="O149" i="384"/>
  <c r="N149" i="384"/>
  <c r="M149" i="384"/>
  <c r="L149" i="384"/>
  <c r="K149" i="384"/>
  <c r="O148" i="384"/>
  <c r="N148" i="384"/>
  <c r="M148" i="384"/>
  <c r="L148" i="384"/>
  <c r="K148" i="384"/>
  <c r="O147" i="384"/>
  <c r="N147" i="384"/>
  <c r="M147" i="384"/>
  <c r="L147" i="384"/>
  <c r="K147" i="384"/>
  <c r="O146" i="384"/>
  <c r="N146" i="384"/>
  <c r="M146" i="384"/>
  <c r="L146" i="384"/>
  <c r="K146" i="384"/>
  <c r="O145" i="384"/>
  <c r="N145" i="384"/>
  <c r="M145" i="384"/>
  <c r="L145" i="384"/>
  <c r="K145" i="384"/>
  <c r="O144" i="384"/>
  <c r="N144" i="384"/>
  <c r="M144" i="384"/>
  <c r="L144" i="384"/>
  <c r="K144" i="384"/>
  <c r="O143" i="384"/>
  <c r="N143" i="384"/>
  <c r="M143" i="384"/>
  <c r="L143" i="384"/>
  <c r="K143" i="384"/>
  <c r="O142" i="384"/>
  <c r="N142" i="384"/>
  <c r="M142" i="384"/>
  <c r="L142" i="384"/>
  <c r="K142" i="384"/>
  <c r="O141" i="384"/>
  <c r="N141" i="384"/>
  <c r="M141" i="384"/>
  <c r="L141" i="384"/>
  <c r="K141" i="384"/>
  <c r="O140" i="384"/>
  <c r="N140" i="384"/>
  <c r="M140" i="384"/>
  <c r="L140" i="384"/>
  <c r="K140" i="384"/>
  <c r="O139" i="384"/>
  <c r="N139" i="384"/>
  <c r="M139" i="384"/>
  <c r="L139" i="384"/>
  <c r="K139" i="384"/>
  <c r="O138" i="384"/>
  <c r="N138" i="384"/>
  <c r="M138" i="384"/>
  <c r="L138" i="384"/>
  <c r="K138" i="384"/>
  <c r="O137" i="384"/>
  <c r="N137" i="384"/>
  <c r="M137" i="384"/>
  <c r="L137" i="384"/>
  <c r="K137" i="384"/>
  <c r="O136" i="384"/>
  <c r="N136" i="384"/>
  <c r="M136" i="384"/>
  <c r="L136" i="384"/>
  <c r="K136" i="384"/>
  <c r="O135" i="384"/>
  <c r="N135" i="384"/>
  <c r="M135" i="384"/>
  <c r="L135" i="384"/>
  <c r="K135" i="384"/>
  <c r="O134" i="384"/>
  <c r="N134" i="384"/>
  <c r="M134" i="384"/>
  <c r="L134" i="384"/>
  <c r="K134" i="384"/>
  <c r="O133" i="384"/>
  <c r="N133" i="384"/>
  <c r="M133" i="384"/>
  <c r="L133" i="384"/>
  <c r="K133" i="384"/>
  <c r="O132" i="384"/>
  <c r="N132" i="384"/>
  <c r="M132" i="384"/>
  <c r="L132" i="384"/>
  <c r="K132" i="384"/>
  <c r="O131" i="384"/>
  <c r="N131" i="384"/>
  <c r="M131" i="384"/>
  <c r="L131" i="384"/>
  <c r="K131" i="384"/>
  <c r="O130" i="384"/>
  <c r="N130" i="384"/>
  <c r="M130" i="384"/>
  <c r="L130" i="384"/>
  <c r="K130" i="384"/>
  <c r="O129" i="384"/>
  <c r="N129" i="384"/>
  <c r="M129" i="384"/>
  <c r="L129" i="384"/>
  <c r="K129" i="384"/>
  <c r="O128" i="384"/>
  <c r="N128" i="384"/>
  <c r="M128" i="384"/>
  <c r="L128" i="384"/>
  <c r="K128" i="384"/>
  <c r="O127" i="384"/>
  <c r="N127" i="384"/>
  <c r="M127" i="384"/>
  <c r="L127" i="384"/>
  <c r="K127" i="384"/>
  <c r="O126" i="384"/>
  <c r="N126" i="384"/>
  <c r="M126" i="384"/>
  <c r="L126" i="384"/>
  <c r="K126" i="384"/>
  <c r="O125" i="384"/>
  <c r="N125" i="384"/>
  <c r="M125" i="384"/>
  <c r="L125" i="384"/>
  <c r="K125" i="384"/>
  <c r="O124" i="384"/>
  <c r="N124" i="384"/>
  <c r="M124" i="384"/>
  <c r="L124" i="384"/>
  <c r="K124" i="384"/>
  <c r="O123" i="384"/>
  <c r="N123" i="384"/>
  <c r="M123" i="384"/>
  <c r="L123" i="384"/>
  <c r="K123" i="384"/>
  <c r="O122" i="384"/>
  <c r="N122" i="384"/>
  <c r="M122" i="384"/>
  <c r="L122" i="384"/>
  <c r="K122" i="384"/>
  <c r="O121" i="384"/>
  <c r="N121" i="384"/>
  <c r="M121" i="384"/>
  <c r="L121" i="384"/>
  <c r="K121" i="384"/>
  <c r="O120" i="384"/>
  <c r="N120" i="384"/>
  <c r="M120" i="384"/>
  <c r="L120" i="384"/>
  <c r="K120" i="384"/>
  <c r="O119" i="384"/>
  <c r="N119" i="384"/>
  <c r="M119" i="384"/>
  <c r="L119" i="384"/>
  <c r="K119" i="384"/>
  <c r="O118" i="384"/>
  <c r="N118" i="384"/>
  <c r="M118" i="384"/>
  <c r="L118" i="384"/>
  <c r="K118" i="384"/>
  <c r="O117" i="384"/>
  <c r="N117" i="384"/>
  <c r="M117" i="384"/>
  <c r="L117" i="384"/>
  <c r="K117" i="384"/>
  <c r="O116" i="384"/>
  <c r="N116" i="384"/>
  <c r="M116" i="384"/>
  <c r="L116" i="384"/>
  <c r="K116" i="384"/>
  <c r="O115" i="384"/>
  <c r="N115" i="384"/>
  <c r="M115" i="384"/>
  <c r="L115" i="384"/>
  <c r="K115" i="384"/>
  <c r="O114" i="384"/>
  <c r="N114" i="384"/>
  <c r="M114" i="384"/>
  <c r="L114" i="384"/>
  <c r="K114" i="384"/>
  <c r="O113" i="384"/>
  <c r="N113" i="384"/>
  <c r="M113" i="384"/>
  <c r="L113" i="384"/>
  <c r="K113" i="384"/>
  <c r="O112" i="384"/>
  <c r="N112" i="384"/>
  <c r="M112" i="384"/>
  <c r="L112" i="384"/>
  <c r="K112" i="384"/>
  <c r="O111" i="384"/>
  <c r="N111" i="384"/>
  <c r="M111" i="384"/>
  <c r="L111" i="384"/>
  <c r="K111" i="384"/>
  <c r="O110" i="384"/>
  <c r="N110" i="384"/>
  <c r="M110" i="384"/>
  <c r="L110" i="384"/>
  <c r="K110" i="384"/>
  <c r="O109" i="384"/>
  <c r="N109" i="384"/>
  <c r="M109" i="384"/>
  <c r="L109" i="384"/>
  <c r="K109" i="384"/>
  <c r="O108" i="384"/>
  <c r="N108" i="384"/>
  <c r="M108" i="384"/>
  <c r="L108" i="384"/>
  <c r="K108" i="384"/>
  <c r="O107" i="384"/>
  <c r="N107" i="384"/>
  <c r="M107" i="384"/>
  <c r="L107" i="384"/>
  <c r="K107" i="384"/>
  <c r="O106" i="384"/>
  <c r="N106" i="384"/>
  <c r="M106" i="384"/>
  <c r="L106" i="384"/>
  <c r="K106" i="384"/>
  <c r="O105" i="384"/>
  <c r="N105" i="384"/>
  <c r="M105" i="384"/>
  <c r="L105" i="384"/>
  <c r="K105" i="384"/>
  <c r="O104" i="384"/>
  <c r="N104" i="384"/>
  <c r="M104" i="384"/>
  <c r="L104" i="384"/>
  <c r="K104" i="384"/>
  <c r="O103" i="384"/>
  <c r="N103" i="384"/>
  <c r="M103" i="384"/>
  <c r="L103" i="384"/>
  <c r="K103" i="384"/>
  <c r="O102" i="384"/>
  <c r="N102" i="384"/>
  <c r="M102" i="384"/>
  <c r="L102" i="384"/>
  <c r="K102" i="384"/>
  <c r="O101" i="384"/>
  <c r="N101" i="384"/>
  <c r="M101" i="384"/>
  <c r="L101" i="384"/>
  <c r="K101" i="384"/>
  <c r="O100" i="384"/>
  <c r="N100" i="384"/>
  <c r="M100" i="384"/>
  <c r="L100" i="384"/>
  <c r="K100" i="384"/>
  <c r="O99" i="384"/>
  <c r="N99" i="384"/>
  <c r="M99" i="384"/>
  <c r="L99" i="384"/>
  <c r="K99" i="384"/>
  <c r="O98" i="384"/>
  <c r="N98" i="384"/>
  <c r="M98" i="384"/>
  <c r="L98" i="384"/>
  <c r="K98" i="384"/>
  <c r="O97" i="384"/>
  <c r="N97" i="384"/>
  <c r="M97" i="384"/>
  <c r="L97" i="384"/>
  <c r="K97" i="384"/>
  <c r="O96" i="384"/>
  <c r="N96" i="384"/>
  <c r="M96" i="384"/>
  <c r="L96" i="384"/>
  <c r="K96" i="384"/>
  <c r="O95" i="384"/>
  <c r="N95" i="384"/>
  <c r="M95" i="384"/>
  <c r="L95" i="384"/>
  <c r="K95" i="384"/>
  <c r="O94" i="384"/>
  <c r="N94" i="384"/>
  <c r="M94" i="384"/>
  <c r="L94" i="384"/>
  <c r="K94" i="384"/>
  <c r="O93" i="384"/>
  <c r="N93" i="384"/>
  <c r="M93" i="384"/>
  <c r="L93" i="384"/>
  <c r="K93" i="384"/>
  <c r="O92" i="384"/>
  <c r="N92" i="384"/>
  <c r="M92" i="384"/>
  <c r="L92" i="384"/>
  <c r="K92" i="384"/>
  <c r="O91" i="384"/>
  <c r="N91" i="384"/>
  <c r="M91" i="384"/>
  <c r="L91" i="384"/>
  <c r="K91" i="384"/>
  <c r="O90" i="384"/>
  <c r="N90" i="384"/>
  <c r="M90" i="384"/>
  <c r="L90" i="384"/>
  <c r="K90" i="384"/>
  <c r="O89" i="384"/>
  <c r="N89" i="384"/>
  <c r="M89" i="384"/>
  <c r="L89" i="384"/>
  <c r="K89" i="384"/>
  <c r="O88" i="384"/>
  <c r="N88" i="384"/>
  <c r="M88" i="384"/>
  <c r="L88" i="384"/>
  <c r="K88" i="384"/>
  <c r="O87" i="384"/>
  <c r="N87" i="384"/>
  <c r="M87" i="384"/>
  <c r="L87" i="384"/>
  <c r="K87" i="384"/>
  <c r="O86" i="384"/>
  <c r="N86" i="384"/>
  <c r="M86" i="384"/>
  <c r="L86" i="384"/>
  <c r="K86" i="384"/>
  <c r="O85" i="384"/>
  <c r="N85" i="384"/>
  <c r="M85" i="384"/>
  <c r="L85" i="384"/>
  <c r="K85" i="384"/>
  <c r="O84" i="384"/>
  <c r="N84" i="384"/>
  <c r="M84" i="384"/>
  <c r="L84" i="384"/>
  <c r="K84" i="384"/>
  <c r="O83" i="384"/>
  <c r="N83" i="384"/>
  <c r="M83" i="384"/>
  <c r="L83" i="384"/>
  <c r="K83" i="384"/>
  <c r="O82" i="384"/>
  <c r="N82" i="384"/>
  <c r="M82" i="384"/>
  <c r="L82" i="384"/>
  <c r="K82" i="384"/>
  <c r="O81" i="384"/>
  <c r="N81" i="384"/>
  <c r="M81" i="384"/>
  <c r="L81" i="384"/>
  <c r="I186" i="385" s="1"/>
  <c r="K81" i="384"/>
  <c r="O80" i="384"/>
  <c r="N80" i="384"/>
  <c r="M80" i="384"/>
  <c r="L80" i="384"/>
  <c r="K80" i="384"/>
  <c r="O79" i="384"/>
  <c r="N79" i="384"/>
  <c r="M79" i="384"/>
  <c r="L79" i="384"/>
  <c r="K79" i="384"/>
  <c r="O78" i="384"/>
  <c r="N78" i="384"/>
  <c r="M78" i="384"/>
  <c r="L78" i="384"/>
  <c r="K78" i="384"/>
  <c r="O77" i="384"/>
  <c r="N77" i="384"/>
  <c r="M77" i="384"/>
  <c r="L77" i="384"/>
  <c r="K77" i="384"/>
  <c r="O76" i="384"/>
  <c r="N76" i="384"/>
  <c r="M76" i="384"/>
  <c r="L76" i="384"/>
  <c r="K76" i="384"/>
  <c r="O75" i="384"/>
  <c r="N75" i="384"/>
  <c r="M75" i="384"/>
  <c r="L75" i="384"/>
  <c r="K75" i="384"/>
  <c r="O74" i="384"/>
  <c r="N74" i="384"/>
  <c r="M74" i="384"/>
  <c r="L74" i="384"/>
  <c r="K74" i="384"/>
  <c r="O73" i="384"/>
  <c r="N73" i="384"/>
  <c r="M73" i="384"/>
  <c r="L73" i="384"/>
  <c r="K73" i="384"/>
  <c r="O72" i="384"/>
  <c r="N72" i="384"/>
  <c r="M72" i="384"/>
  <c r="L72" i="384"/>
  <c r="K72" i="384"/>
  <c r="O71" i="384"/>
  <c r="N71" i="384"/>
  <c r="M71" i="384"/>
  <c r="L71" i="384"/>
  <c r="K71" i="384"/>
  <c r="O70" i="384"/>
  <c r="N70" i="384"/>
  <c r="M70" i="384"/>
  <c r="L70" i="384"/>
  <c r="K70" i="384"/>
  <c r="O69" i="384"/>
  <c r="N69" i="384"/>
  <c r="M69" i="384"/>
  <c r="L69" i="384"/>
  <c r="K69" i="384"/>
  <c r="O68" i="384"/>
  <c r="N68" i="384"/>
  <c r="M68" i="384"/>
  <c r="L68" i="384"/>
  <c r="K68" i="384"/>
  <c r="O67" i="384"/>
  <c r="N67" i="384"/>
  <c r="M67" i="384"/>
  <c r="L67" i="384"/>
  <c r="K67" i="384"/>
  <c r="O66" i="384"/>
  <c r="N66" i="384"/>
  <c r="M66" i="384"/>
  <c r="L66" i="384"/>
  <c r="K66" i="384"/>
  <c r="O65" i="384"/>
  <c r="N65" i="384"/>
  <c r="M65" i="384"/>
  <c r="L65" i="384"/>
  <c r="K65" i="384"/>
  <c r="O64" i="384"/>
  <c r="N64" i="384"/>
  <c r="M64" i="384"/>
  <c r="L64" i="384"/>
  <c r="K64" i="384"/>
  <c r="O63" i="384"/>
  <c r="N63" i="384"/>
  <c r="M63" i="384"/>
  <c r="L63" i="384"/>
  <c r="K63" i="384"/>
  <c r="O62" i="384"/>
  <c r="N62" i="384"/>
  <c r="M62" i="384"/>
  <c r="L62" i="384"/>
  <c r="K62" i="384"/>
  <c r="O61" i="384"/>
  <c r="N61" i="384"/>
  <c r="M61" i="384"/>
  <c r="L61" i="384"/>
  <c r="K61" i="384"/>
  <c r="O60" i="384"/>
  <c r="N60" i="384"/>
  <c r="M60" i="384"/>
  <c r="L60" i="384"/>
  <c r="K60" i="384"/>
  <c r="O59" i="384"/>
  <c r="N59" i="384"/>
  <c r="M59" i="384"/>
  <c r="L59" i="384"/>
  <c r="K59" i="384"/>
  <c r="O58" i="384"/>
  <c r="N58" i="384"/>
  <c r="M58" i="384"/>
  <c r="L58" i="384"/>
  <c r="K58" i="384"/>
  <c r="O57" i="384"/>
  <c r="N57" i="384"/>
  <c r="M57" i="384"/>
  <c r="L57" i="384"/>
  <c r="K57" i="384"/>
  <c r="O56" i="384"/>
  <c r="N56" i="384"/>
  <c r="M56" i="384"/>
  <c r="L56" i="384"/>
  <c r="K56" i="384"/>
  <c r="O55" i="384"/>
  <c r="N55" i="384"/>
  <c r="M55" i="384"/>
  <c r="L55" i="384"/>
  <c r="K55" i="384"/>
  <c r="O54" i="384"/>
  <c r="N54" i="384"/>
  <c r="M54" i="384"/>
  <c r="L54" i="384"/>
  <c r="K54" i="384"/>
  <c r="O53" i="384"/>
  <c r="N53" i="384"/>
  <c r="M53" i="384"/>
  <c r="L53" i="384"/>
  <c r="K53" i="384"/>
  <c r="O52" i="384"/>
  <c r="N52" i="384"/>
  <c r="M52" i="384"/>
  <c r="L52" i="384"/>
  <c r="K52" i="384"/>
  <c r="O51" i="384"/>
  <c r="N51" i="384"/>
  <c r="M51" i="384"/>
  <c r="L51" i="384"/>
  <c r="K51" i="384"/>
  <c r="O50" i="384"/>
  <c r="N50" i="384"/>
  <c r="M50" i="384"/>
  <c r="L50" i="384"/>
  <c r="K50" i="384"/>
  <c r="O49" i="384"/>
  <c r="N49" i="384"/>
  <c r="M49" i="384"/>
  <c r="L49" i="384"/>
  <c r="K49" i="384"/>
  <c r="O48" i="384"/>
  <c r="N48" i="384"/>
  <c r="M48" i="384"/>
  <c r="L48" i="384"/>
  <c r="K48" i="384"/>
  <c r="O47" i="384"/>
  <c r="N47" i="384"/>
  <c r="M47" i="384"/>
  <c r="L47" i="384"/>
  <c r="K47" i="384"/>
  <c r="O46" i="384"/>
  <c r="N46" i="384"/>
  <c r="M46" i="384"/>
  <c r="L46" i="384"/>
  <c r="K46" i="384"/>
  <c r="O45" i="384"/>
  <c r="N45" i="384"/>
  <c r="M45" i="384"/>
  <c r="L45" i="384"/>
  <c r="K45" i="384"/>
  <c r="O44" i="384"/>
  <c r="N44" i="384"/>
  <c r="M44" i="384"/>
  <c r="L44" i="384"/>
  <c r="K44" i="384"/>
  <c r="O43" i="384"/>
  <c r="N43" i="384"/>
  <c r="M43" i="384"/>
  <c r="L43" i="384"/>
  <c r="K43" i="384"/>
  <c r="O42" i="384"/>
  <c r="N42" i="384"/>
  <c r="M42" i="384"/>
  <c r="L42" i="384"/>
  <c r="K42" i="384"/>
  <c r="O41" i="384"/>
  <c r="N41" i="384"/>
  <c r="M41" i="384"/>
  <c r="L41" i="384"/>
  <c r="K41" i="384"/>
  <c r="O40" i="384"/>
  <c r="N40" i="384"/>
  <c r="M40" i="384"/>
  <c r="L40" i="384"/>
  <c r="K40" i="384"/>
  <c r="O39" i="384"/>
  <c r="N39" i="384"/>
  <c r="M39" i="384"/>
  <c r="L39" i="384"/>
  <c r="K39" i="384"/>
  <c r="O38" i="384"/>
  <c r="N38" i="384"/>
  <c r="M38" i="384"/>
  <c r="L38" i="384"/>
  <c r="K38" i="384"/>
  <c r="O37" i="384"/>
  <c r="N37" i="384"/>
  <c r="M37" i="384"/>
  <c r="L37" i="384"/>
  <c r="K37" i="384"/>
  <c r="O36" i="384"/>
  <c r="N36" i="384"/>
  <c r="M36" i="384"/>
  <c r="L36" i="384"/>
  <c r="K36" i="384"/>
  <c r="O35" i="384"/>
  <c r="N35" i="384"/>
  <c r="M35" i="384"/>
  <c r="L35" i="384"/>
  <c r="K35" i="384"/>
  <c r="O34" i="384"/>
  <c r="N34" i="384"/>
  <c r="M34" i="384"/>
  <c r="L34" i="384"/>
  <c r="K34" i="384"/>
  <c r="O33" i="384"/>
  <c r="N33" i="384"/>
  <c r="M33" i="384"/>
  <c r="L33" i="384"/>
  <c r="K33" i="384"/>
  <c r="O32" i="384"/>
  <c r="N32" i="384"/>
  <c r="M32" i="384"/>
  <c r="L32" i="384"/>
  <c r="K32" i="384"/>
  <c r="O31" i="384"/>
  <c r="N31" i="384"/>
  <c r="M31" i="384"/>
  <c r="L31" i="384"/>
  <c r="K31" i="384"/>
  <c r="O30" i="384"/>
  <c r="N30" i="384"/>
  <c r="M30" i="384"/>
  <c r="L30" i="384"/>
  <c r="K30" i="384"/>
  <c r="O29" i="384"/>
  <c r="N29" i="384"/>
  <c r="M29" i="384"/>
  <c r="L29" i="384"/>
  <c r="K29" i="384"/>
  <c r="O28" i="384"/>
  <c r="N28" i="384"/>
  <c r="M28" i="384"/>
  <c r="L28" i="384"/>
  <c r="K28" i="384"/>
  <c r="O27" i="384"/>
  <c r="N27" i="384"/>
  <c r="M27" i="384"/>
  <c r="L27" i="384"/>
  <c r="K27" i="384"/>
  <c r="O26" i="384"/>
  <c r="N26" i="384"/>
  <c r="M26" i="384"/>
  <c r="L26" i="384"/>
  <c r="K26" i="384"/>
  <c r="O25" i="384"/>
  <c r="N25" i="384"/>
  <c r="M25" i="384"/>
  <c r="L25" i="384"/>
  <c r="K25" i="384"/>
  <c r="O24" i="384"/>
  <c r="N24" i="384"/>
  <c r="M24" i="384"/>
  <c r="L24" i="384"/>
  <c r="K24" i="384"/>
  <c r="O23" i="384"/>
  <c r="N23" i="384"/>
  <c r="M23" i="384"/>
  <c r="L23" i="384"/>
  <c r="K23" i="384"/>
  <c r="O22" i="384"/>
  <c r="N22" i="384"/>
  <c r="M22" i="384"/>
  <c r="L22" i="384"/>
  <c r="K22" i="384"/>
  <c r="O21" i="384"/>
  <c r="N21" i="384"/>
  <c r="M21" i="384"/>
  <c r="L21" i="384"/>
  <c r="K21" i="384"/>
  <c r="O20" i="384"/>
  <c r="N20" i="384"/>
  <c r="M20" i="384"/>
  <c r="L20" i="384"/>
  <c r="K20" i="384"/>
  <c r="O19" i="384"/>
  <c r="N19" i="384"/>
  <c r="M19" i="384"/>
  <c r="L19" i="384"/>
  <c r="K19" i="384"/>
  <c r="O18" i="384"/>
  <c r="N18" i="384"/>
  <c r="M18" i="384"/>
  <c r="L18" i="384"/>
  <c r="K18" i="384"/>
  <c r="O17" i="384"/>
  <c r="N17" i="384"/>
  <c r="M17" i="384"/>
  <c r="L17" i="384"/>
  <c r="K17" i="384"/>
  <c r="O16" i="384"/>
  <c r="N16" i="384"/>
  <c r="M16" i="384"/>
  <c r="L16" i="384"/>
  <c r="K16" i="384"/>
  <c r="O15" i="384"/>
  <c r="N15" i="384"/>
  <c r="M15" i="384"/>
  <c r="L15" i="384"/>
  <c r="K15" i="384"/>
  <c r="O14" i="384"/>
  <c r="N14" i="384"/>
  <c r="M14" i="384"/>
  <c r="L14" i="384"/>
  <c r="K14" i="384"/>
  <c r="O13" i="384"/>
  <c r="N13" i="384"/>
  <c r="M13" i="384"/>
  <c r="L13" i="384"/>
  <c r="K13" i="384"/>
  <c r="O12" i="384"/>
  <c r="N12" i="384"/>
  <c r="M12" i="384"/>
  <c r="L12" i="384"/>
  <c r="K12" i="384"/>
  <c r="O11" i="384"/>
  <c r="N11" i="384"/>
  <c r="M11" i="384"/>
  <c r="L11" i="384"/>
  <c r="K11" i="384"/>
  <c r="O10" i="384"/>
  <c r="N10" i="384"/>
  <c r="M10" i="384"/>
  <c r="L10" i="384"/>
  <c r="K10" i="384"/>
  <c r="O9" i="384"/>
  <c r="N9" i="384"/>
  <c r="M9" i="384"/>
  <c r="L9" i="384"/>
  <c r="K9" i="384"/>
  <c r="O8" i="384"/>
  <c r="N8" i="384"/>
  <c r="M8" i="384"/>
  <c r="L8" i="384"/>
  <c r="K8" i="384"/>
  <c r="O7" i="384"/>
  <c r="N7" i="384"/>
  <c r="M7" i="384"/>
  <c r="L7" i="384"/>
  <c r="K7" i="384"/>
  <c r="O6" i="384"/>
  <c r="N6" i="384"/>
  <c r="M6" i="384"/>
  <c r="L6" i="384"/>
  <c r="K6" i="384"/>
  <c r="O5" i="384"/>
  <c r="N5" i="384"/>
  <c r="M5" i="384"/>
  <c r="G14" i="385" s="1"/>
  <c r="L5" i="384"/>
  <c r="I79" i="385" s="1"/>
  <c r="K5" i="384"/>
  <c r="O4" i="384"/>
  <c r="N4" i="384"/>
  <c r="M4" i="384"/>
  <c r="G34" i="385" s="1"/>
  <c r="L4" i="384"/>
  <c r="K4" i="384"/>
  <c r="O3" i="384"/>
  <c r="N3" i="384"/>
  <c r="M3" i="384"/>
  <c r="L3" i="384"/>
  <c r="I179" i="385" s="1"/>
  <c r="K3" i="384"/>
  <c r="O2" i="384"/>
  <c r="N2" i="384"/>
  <c r="M2" i="384"/>
  <c r="L2" i="384"/>
  <c r="F6" i="385" s="1"/>
  <c r="K2" i="384"/>
  <c r="S206" i="385"/>
  <c r="R206" i="385"/>
  <c r="Q206" i="385"/>
  <c r="P206" i="385"/>
  <c r="S205" i="385"/>
  <c r="R205" i="385"/>
  <c r="Q205" i="385"/>
  <c r="P205" i="385"/>
  <c r="S204" i="385"/>
  <c r="R204" i="385"/>
  <c r="Q204" i="385"/>
  <c r="P204" i="385"/>
  <c r="S203" i="385"/>
  <c r="R203" i="385"/>
  <c r="Q203" i="385"/>
  <c r="P203" i="385"/>
  <c r="S202" i="385"/>
  <c r="R202" i="385"/>
  <c r="Q202" i="385"/>
  <c r="P202" i="385"/>
  <c r="S201" i="385"/>
  <c r="R201" i="385"/>
  <c r="Q201" i="385"/>
  <c r="P201" i="385"/>
  <c r="S200" i="385"/>
  <c r="R200" i="385"/>
  <c r="Q200" i="385"/>
  <c r="P200" i="385"/>
  <c r="S199" i="385"/>
  <c r="R199" i="385"/>
  <c r="Q199" i="385"/>
  <c r="P199" i="385"/>
  <c r="S198" i="385"/>
  <c r="R198" i="385"/>
  <c r="Q198" i="385"/>
  <c r="P198" i="385"/>
  <c r="S197" i="385"/>
  <c r="R197" i="385"/>
  <c r="Q197" i="385"/>
  <c r="P197" i="385"/>
  <c r="S196" i="385"/>
  <c r="R196" i="385"/>
  <c r="Q196" i="385"/>
  <c r="P196" i="385"/>
  <c r="S195" i="385"/>
  <c r="R195" i="385"/>
  <c r="Q195" i="385"/>
  <c r="P195" i="385"/>
  <c r="S194" i="385"/>
  <c r="R194" i="385"/>
  <c r="Q194" i="385"/>
  <c r="P194" i="385"/>
  <c r="S193" i="385"/>
  <c r="R193" i="385"/>
  <c r="Q193" i="385"/>
  <c r="P193" i="385"/>
  <c r="S192" i="385"/>
  <c r="R192" i="385"/>
  <c r="Q192" i="385"/>
  <c r="P192" i="385"/>
  <c r="S191" i="385"/>
  <c r="R191" i="385"/>
  <c r="Q191" i="385"/>
  <c r="P191" i="385"/>
  <c r="M191" i="385"/>
  <c r="L191" i="385"/>
  <c r="K191" i="385"/>
  <c r="J191" i="385"/>
  <c r="H191" i="385"/>
  <c r="G191" i="385"/>
  <c r="F191" i="385"/>
  <c r="E191" i="385"/>
  <c r="D191" i="385"/>
  <c r="C191" i="385"/>
  <c r="S190" i="385"/>
  <c r="R190" i="385"/>
  <c r="Q190" i="385"/>
  <c r="P190" i="385"/>
  <c r="M190" i="385"/>
  <c r="L190" i="385"/>
  <c r="K190" i="385"/>
  <c r="J190" i="385"/>
  <c r="H190" i="385"/>
  <c r="G190" i="385"/>
  <c r="F190" i="385"/>
  <c r="E190" i="385"/>
  <c r="D190" i="385"/>
  <c r="C190" i="385"/>
  <c r="S189" i="385"/>
  <c r="R189" i="385"/>
  <c r="Q189" i="385"/>
  <c r="P189" i="385"/>
  <c r="M189" i="385"/>
  <c r="L189" i="385"/>
  <c r="K189" i="385"/>
  <c r="J189" i="385"/>
  <c r="H189" i="385"/>
  <c r="G189" i="385"/>
  <c r="F189" i="385"/>
  <c r="E189" i="385"/>
  <c r="D189" i="385"/>
  <c r="C189" i="385"/>
  <c r="S188" i="385"/>
  <c r="R188" i="385"/>
  <c r="Q188" i="385"/>
  <c r="P188" i="385"/>
  <c r="M188" i="385"/>
  <c r="L188" i="385"/>
  <c r="K188" i="385"/>
  <c r="J188" i="385"/>
  <c r="H188" i="385"/>
  <c r="G188" i="385"/>
  <c r="F188" i="385"/>
  <c r="E188" i="385"/>
  <c r="D188" i="385"/>
  <c r="C188" i="385"/>
  <c r="S187" i="385"/>
  <c r="R187" i="385"/>
  <c r="Q187" i="385"/>
  <c r="P187" i="385"/>
  <c r="M187" i="385"/>
  <c r="L187" i="385"/>
  <c r="K187" i="385"/>
  <c r="J187" i="385"/>
  <c r="H187" i="385"/>
  <c r="G187" i="385"/>
  <c r="F187" i="385"/>
  <c r="E187" i="385"/>
  <c r="D187" i="385"/>
  <c r="C187" i="385"/>
  <c r="S186" i="385"/>
  <c r="R186" i="385"/>
  <c r="Q186" i="385"/>
  <c r="P186" i="385"/>
  <c r="M186" i="385"/>
  <c r="L186" i="385"/>
  <c r="K186" i="385"/>
  <c r="J186" i="385"/>
  <c r="H186" i="385"/>
  <c r="G186" i="385"/>
  <c r="F186" i="385"/>
  <c r="E186" i="385"/>
  <c r="D186" i="385"/>
  <c r="C186" i="385"/>
  <c r="S185" i="385"/>
  <c r="R185" i="385"/>
  <c r="Q185" i="385"/>
  <c r="P185" i="385"/>
  <c r="M185" i="385"/>
  <c r="L185" i="385"/>
  <c r="K185" i="385"/>
  <c r="J185" i="385"/>
  <c r="H185" i="385"/>
  <c r="G185" i="385"/>
  <c r="F185" i="385"/>
  <c r="E185" i="385"/>
  <c r="D185" i="385"/>
  <c r="C185" i="385"/>
  <c r="S184" i="385"/>
  <c r="R184" i="385"/>
  <c r="Q184" i="385"/>
  <c r="P184" i="385"/>
  <c r="M184" i="385"/>
  <c r="L184" i="385"/>
  <c r="K184" i="385"/>
  <c r="J184" i="385"/>
  <c r="H184" i="385"/>
  <c r="G184" i="385"/>
  <c r="F184" i="385"/>
  <c r="E184" i="385"/>
  <c r="D184" i="385"/>
  <c r="C184" i="385"/>
  <c r="S183" i="385"/>
  <c r="R183" i="385"/>
  <c r="Q183" i="385"/>
  <c r="P183" i="385"/>
  <c r="M183" i="385"/>
  <c r="L183" i="385"/>
  <c r="K183" i="385"/>
  <c r="J183" i="385"/>
  <c r="H183" i="385"/>
  <c r="G183" i="385"/>
  <c r="F183" i="385"/>
  <c r="E183" i="385"/>
  <c r="D183" i="385"/>
  <c r="C183" i="385"/>
  <c r="S182" i="385"/>
  <c r="R182" i="385"/>
  <c r="Q182" i="385"/>
  <c r="P182" i="385"/>
  <c r="M182" i="385"/>
  <c r="L182" i="385"/>
  <c r="K182" i="385"/>
  <c r="J182" i="385"/>
  <c r="I182" i="385"/>
  <c r="H182" i="385"/>
  <c r="G182" i="385"/>
  <c r="F182" i="385"/>
  <c r="E182" i="385"/>
  <c r="D182" i="385"/>
  <c r="C182" i="385"/>
  <c r="S181" i="385"/>
  <c r="R181" i="385"/>
  <c r="Q181" i="385"/>
  <c r="P181" i="385"/>
  <c r="M181" i="385"/>
  <c r="L181" i="385"/>
  <c r="K181" i="385"/>
  <c r="J181" i="385"/>
  <c r="H181" i="385"/>
  <c r="G181" i="385"/>
  <c r="F181" i="385"/>
  <c r="E181" i="385"/>
  <c r="D181" i="385"/>
  <c r="C181" i="385"/>
  <c r="S180" i="385"/>
  <c r="R180" i="385"/>
  <c r="Q180" i="385"/>
  <c r="P180" i="385"/>
  <c r="M180" i="385"/>
  <c r="L180" i="385"/>
  <c r="K180" i="385"/>
  <c r="J180" i="385"/>
  <c r="H180" i="385"/>
  <c r="G180" i="385"/>
  <c r="F180" i="385"/>
  <c r="E180" i="385"/>
  <c r="D180" i="385"/>
  <c r="C180" i="385"/>
  <c r="S179" i="385"/>
  <c r="R179" i="385"/>
  <c r="Q179" i="385"/>
  <c r="P179" i="385"/>
  <c r="M179" i="385"/>
  <c r="L179" i="385"/>
  <c r="K179" i="385"/>
  <c r="J179" i="385"/>
  <c r="H179" i="385"/>
  <c r="G179" i="385"/>
  <c r="F179" i="385"/>
  <c r="E179" i="385"/>
  <c r="D179" i="385"/>
  <c r="C179" i="385"/>
  <c r="S178" i="385"/>
  <c r="R178" i="385"/>
  <c r="Q178" i="385"/>
  <c r="P178" i="385"/>
  <c r="M178" i="385"/>
  <c r="L178" i="385"/>
  <c r="K178" i="385"/>
  <c r="J178" i="385"/>
  <c r="I178" i="385"/>
  <c r="H178" i="385"/>
  <c r="G178" i="385"/>
  <c r="F178" i="385"/>
  <c r="E178" i="385"/>
  <c r="D178" i="385"/>
  <c r="C178" i="385"/>
  <c r="S177" i="385"/>
  <c r="R177" i="385"/>
  <c r="Q177" i="385"/>
  <c r="P177" i="385"/>
  <c r="M177" i="385"/>
  <c r="L177" i="385"/>
  <c r="K177" i="385"/>
  <c r="J177" i="385"/>
  <c r="H177" i="385"/>
  <c r="G177" i="385"/>
  <c r="F177" i="385"/>
  <c r="E177" i="385"/>
  <c r="D177" i="385"/>
  <c r="C177" i="385"/>
  <c r="S176" i="385"/>
  <c r="R176" i="385"/>
  <c r="Q176" i="385"/>
  <c r="P176" i="385"/>
  <c r="M176" i="385"/>
  <c r="L176" i="385"/>
  <c r="K176" i="385"/>
  <c r="J176" i="385"/>
  <c r="H176" i="385"/>
  <c r="G176" i="385"/>
  <c r="F176" i="385"/>
  <c r="E176" i="385"/>
  <c r="D176" i="385"/>
  <c r="C176" i="385"/>
  <c r="S175" i="385"/>
  <c r="R175" i="385"/>
  <c r="Q175" i="385"/>
  <c r="P175" i="385"/>
  <c r="M175" i="385"/>
  <c r="L175" i="385"/>
  <c r="K175" i="385"/>
  <c r="J175" i="385"/>
  <c r="H175" i="385"/>
  <c r="G175" i="385"/>
  <c r="F175" i="385"/>
  <c r="E175" i="385"/>
  <c r="D175" i="385"/>
  <c r="C175" i="385"/>
  <c r="S174" i="385"/>
  <c r="R174" i="385"/>
  <c r="Q174" i="385"/>
  <c r="P174" i="385"/>
  <c r="M174" i="385"/>
  <c r="L174" i="385"/>
  <c r="K174" i="385"/>
  <c r="J174" i="385"/>
  <c r="H174" i="385"/>
  <c r="G174" i="385"/>
  <c r="F174" i="385"/>
  <c r="E174" i="385"/>
  <c r="D174" i="385"/>
  <c r="C174" i="385"/>
  <c r="S173" i="385"/>
  <c r="R173" i="385"/>
  <c r="Q173" i="385"/>
  <c r="P173" i="385"/>
  <c r="M173" i="385"/>
  <c r="L173" i="385"/>
  <c r="K173" i="385"/>
  <c r="J173" i="385"/>
  <c r="H173" i="385"/>
  <c r="G173" i="385"/>
  <c r="F173" i="385"/>
  <c r="E173" i="385"/>
  <c r="D173" i="385"/>
  <c r="C173" i="385"/>
  <c r="S172" i="385"/>
  <c r="R172" i="385"/>
  <c r="Q172" i="385"/>
  <c r="P172" i="385"/>
  <c r="M172" i="385"/>
  <c r="L172" i="385"/>
  <c r="K172" i="385"/>
  <c r="J172" i="385"/>
  <c r="H172" i="385"/>
  <c r="G172" i="385"/>
  <c r="F172" i="385"/>
  <c r="E172" i="385"/>
  <c r="D172" i="385"/>
  <c r="C172" i="385"/>
  <c r="S171" i="385"/>
  <c r="R171" i="385"/>
  <c r="Q171" i="385"/>
  <c r="P171" i="385"/>
  <c r="M171" i="385"/>
  <c r="L171" i="385"/>
  <c r="K171" i="385"/>
  <c r="J171" i="385"/>
  <c r="H171" i="385"/>
  <c r="G171" i="385"/>
  <c r="F171" i="385"/>
  <c r="E171" i="385"/>
  <c r="D171" i="385"/>
  <c r="C171" i="385"/>
  <c r="S170" i="385"/>
  <c r="R170" i="385"/>
  <c r="Q170" i="385"/>
  <c r="P170" i="385"/>
  <c r="M170" i="385"/>
  <c r="L170" i="385"/>
  <c r="K170" i="385"/>
  <c r="J170" i="385"/>
  <c r="I170" i="385"/>
  <c r="H170" i="385"/>
  <c r="G170" i="385"/>
  <c r="F170" i="385"/>
  <c r="E170" i="385"/>
  <c r="D170" i="385"/>
  <c r="C170" i="385"/>
  <c r="S169" i="385"/>
  <c r="R169" i="385"/>
  <c r="Q169" i="385"/>
  <c r="P169" i="385"/>
  <c r="M169" i="385"/>
  <c r="L169" i="385"/>
  <c r="K169" i="385"/>
  <c r="J169" i="385"/>
  <c r="H169" i="385"/>
  <c r="G169" i="385"/>
  <c r="F169" i="385"/>
  <c r="E169" i="385"/>
  <c r="D169" i="385"/>
  <c r="C169" i="385"/>
  <c r="S168" i="385"/>
  <c r="R168" i="385"/>
  <c r="Q168" i="385"/>
  <c r="P168" i="385"/>
  <c r="M168" i="385"/>
  <c r="L168" i="385"/>
  <c r="K168" i="385"/>
  <c r="J168" i="385"/>
  <c r="H168" i="385"/>
  <c r="G168" i="385"/>
  <c r="F168" i="385"/>
  <c r="E168" i="385"/>
  <c r="D168" i="385"/>
  <c r="C168" i="385"/>
  <c r="S167" i="385"/>
  <c r="R167" i="385"/>
  <c r="Q167" i="385"/>
  <c r="P167" i="385"/>
  <c r="M167" i="385"/>
  <c r="L167" i="385"/>
  <c r="K167" i="385"/>
  <c r="J167" i="385"/>
  <c r="H167" i="385"/>
  <c r="G167" i="385"/>
  <c r="F167" i="385"/>
  <c r="E167" i="385"/>
  <c r="D167" i="385"/>
  <c r="C167" i="385"/>
  <c r="S166" i="385"/>
  <c r="R166" i="385"/>
  <c r="Q166" i="385"/>
  <c r="P166" i="385"/>
  <c r="M166" i="385"/>
  <c r="L166" i="385"/>
  <c r="K166" i="385"/>
  <c r="J166" i="385"/>
  <c r="I166" i="385"/>
  <c r="H166" i="385"/>
  <c r="G166" i="385"/>
  <c r="F166" i="385"/>
  <c r="E166" i="385"/>
  <c r="D166" i="385"/>
  <c r="C166" i="385"/>
  <c r="S165" i="385"/>
  <c r="R165" i="385"/>
  <c r="Q165" i="385"/>
  <c r="P165" i="385"/>
  <c r="M165" i="385"/>
  <c r="L165" i="385"/>
  <c r="K165" i="385"/>
  <c r="J165" i="385"/>
  <c r="H165" i="385"/>
  <c r="G165" i="385"/>
  <c r="F165" i="385"/>
  <c r="E165" i="385"/>
  <c r="D165" i="385"/>
  <c r="C165" i="385"/>
  <c r="S164" i="385"/>
  <c r="R164" i="385"/>
  <c r="Q164" i="385"/>
  <c r="P164" i="385"/>
  <c r="M164" i="385"/>
  <c r="L164" i="385"/>
  <c r="K164" i="385"/>
  <c r="J164" i="385"/>
  <c r="H164" i="385"/>
  <c r="G164" i="385"/>
  <c r="F164" i="385"/>
  <c r="E164" i="385"/>
  <c r="D164" i="385"/>
  <c r="C164" i="385"/>
  <c r="S163" i="385"/>
  <c r="R163" i="385"/>
  <c r="Q163" i="385"/>
  <c r="P163" i="385"/>
  <c r="M163" i="385"/>
  <c r="L163" i="385"/>
  <c r="K163" i="385"/>
  <c r="J163" i="385"/>
  <c r="H163" i="385"/>
  <c r="G163" i="385"/>
  <c r="F163" i="385"/>
  <c r="E163" i="385"/>
  <c r="D163" i="385"/>
  <c r="C163" i="385"/>
  <c r="S162" i="385"/>
  <c r="R162" i="385"/>
  <c r="Q162" i="385"/>
  <c r="P162" i="385"/>
  <c r="M162" i="385"/>
  <c r="L162" i="385"/>
  <c r="K162" i="385"/>
  <c r="J162" i="385"/>
  <c r="H162" i="385"/>
  <c r="G162" i="385"/>
  <c r="F162" i="385"/>
  <c r="E162" i="385"/>
  <c r="D162" i="385"/>
  <c r="C162" i="385"/>
  <c r="S161" i="385"/>
  <c r="R161" i="385"/>
  <c r="Q161" i="385"/>
  <c r="P161" i="385"/>
  <c r="M161" i="385"/>
  <c r="L161" i="385"/>
  <c r="K161" i="385"/>
  <c r="J161" i="385"/>
  <c r="H161" i="385"/>
  <c r="G161" i="385"/>
  <c r="F161" i="385"/>
  <c r="E161" i="385"/>
  <c r="D161" i="385"/>
  <c r="C161" i="385"/>
  <c r="S160" i="385"/>
  <c r="R160" i="385"/>
  <c r="Q160" i="385"/>
  <c r="P160" i="385"/>
  <c r="M160" i="385"/>
  <c r="L160" i="385"/>
  <c r="K160" i="385"/>
  <c r="J160" i="385"/>
  <c r="H160" i="385"/>
  <c r="G160" i="385"/>
  <c r="F160" i="385"/>
  <c r="E160" i="385"/>
  <c r="D160" i="385"/>
  <c r="C160" i="385"/>
  <c r="S159" i="385"/>
  <c r="R159" i="385"/>
  <c r="Q159" i="385"/>
  <c r="P159" i="385"/>
  <c r="M159" i="385"/>
  <c r="L159" i="385"/>
  <c r="K159" i="385"/>
  <c r="J159" i="385"/>
  <c r="H159" i="385"/>
  <c r="G159" i="385"/>
  <c r="F159" i="385"/>
  <c r="E159" i="385"/>
  <c r="D159" i="385"/>
  <c r="C159" i="385"/>
  <c r="S158" i="385"/>
  <c r="R158" i="385"/>
  <c r="Q158" i="385"/>
  <c r="P158" i="385"/>
  <c r="M158" i="385"/>
  <c r="L158" i="385"/>
  <c r="K158" i="385"/>
  <c r="J158" i="385"/>
  <c r="I158" i="385"/>
  <c r="H158" i="385"/>
  <c r="G158" i="385"/>
  <c r="F158" i="385"/>
  <c r="E158" i="385"/>
  <c r="D158" i="385"/>
  <c r="C158" i="385"/>
  <c r="S157" i="385"/>
  <c r="R157" i="385"/>
  <c r="Q157" i="385"/>
  <c r="P157" i="385"/>
  <c r="M157" i="385"/>
  <c r="L157" i="385"/>
  <c r="K157" i="385"/>
  <c r="J157" i="385"/>
  <c r="H157" i="385"/>
  <c r="G157" i="385"/>
  <c r="F157" i="385"/>
  <c r="E157" i="385"/>
  <c r="D157" i="385"/>
  <c r="C157" i="385"/>
  <c r="S156" i="385"/>
  <c r="R156" i="385"/>
  <c r="Q156" i="385"/>
  <c r="P156" i="385"/>
  <c r="M156" i="385"/>
  <c r="L156" i="385"/>
  <c r="K156" i="385"/>
  <c r="J156" i="385"/>
  <c r="H156" i="385"/>
  <c r="G156" i="385"/>
  <c r="F156" i="385"/>
  <c r="E156" i="385"/>
  <c r="D156" i="385"/>
  <c r="C156" i="385"/>
  <c r="S155" i="385"/>
  <c r="R155" i="385"/>
  <c r="Q155" i="385"/>
  <c r="P155" i="385"/>
  <c r="M155" i="385"/>
  <c r="L155" i="385"/>
  <c r="K155" i="385"/>
  <c r="J155" i="385"/>
  <c r="H155" i="385"/>
  <c r="G155" i="385"/>
  <c r="F155" i="385"/>
  <c r="E155" i="385"/>
  <c r="D155" i="385"/>
  <c r="C155" i="385"/>
  <c r="S154" i="385"/>
  <c r="R154" i="385"/>
  <c r="Q154" i="385"/>
  <c r="P154" i="385"/>
  <c r="M154" i="385"/>
  <c r="L154" i="385"/>
  <c r="K154" i="385"/>
  <c r="J154" i="385"/>
  <c r="I154" i="385"/>
  <c r="H154" i="385"/>
  <c r="G154" i="385"/>
  <c r="F154" i="385"/>
  <c r="E154" i="385"/>
  <c r="D154" i="385"/>
  <c r="C154" i="385"/>
  <c r="S153" i="385"/>
  <c r="R153" i="385"/>
  <c r="Q153" i="385"/>
  <c r="P153" i="385"/>
  <c r="M153" i="385"/>
  <c r="L153" i="385"/>
  <c r="K153" i="385"/>
  <c r="J153" i="385"/>
  <c r="H153" i="385"/>
  <c r="G153" i="385"/>
  <c r="F153" i="385"/>
  <c r="E153" i="385"/>
  <c r="D153" i="385"/>
  <c r="C153" i="385"/>
  <c r="S152" i="385"/>
  <c r="R152" i="385"/>
  <c r="Q152" i="385"/>
  <c r="P152" i="385"/>
  <c r="M152" i="385"/>
  <c r="L152" i="385"/>
  <c r="K152" i="385"/>
  <c r="J152" i="385"/>
  <c r="H152" i="385"/>
  <c r="G152" i="385"/>
  <c r="F152" i="385"/>
  <c r="E152" i="385"/>
  <c r="D152" i="385"/>
  <c r="C152" i="385"/>
  <c r="S151" i="385"/>
  <c r="R151" i="385"/>
  <c r="Q151" i="385"/>
  <c r="P151" i="385"/>
  <c r="M151" i="385"/>
  <c r="L151" i="385"/>
  <c r="K151" i="385"/>
  <c r="J151" i="385"/>
  <c r="H151" i="385"/>
  <c r="G151" i="385"/>
  <c r="F151" i="385"/>
  <c r="E151" i="385"/>
  <c r="D151" i="385"/>
  <c r="C151" i="385"/>
  <c r="S150" i="385"/>
  <c r="R150" i="385"/>
  <c r="Q150" i="385"/>
  <c r="P150" i="385"/>
  <c r="M150" i="385"/>
  <c r="L150" i="385"/>
  <c r="K150" i="385"/>
  <c r="J150" i="385"/>
  <c r="I150" i="385"/>
  <c r="H150" i="385"/>
  <c r="G150" i="385"/>
  <c r="F150" i="385"/>
  <c r="E150" i="385"/>
  <c r="D150" i="385"/>
  <c r="C150" i="385"/>
  <c r="S149" i="385"/>
  <c r="R149" i="385"/>
  <c r="Q149" i="385"/>
  <c r="P149" i="385"/>
  <c r="M149" i="385"/>
  <c r="L149" i="385"/>
  <c r="K149" i="385"/>
  <c r="J149" i="385"/>
  <c r="H149" i="385"/>
  <c r="G149" i="385"/>
  <c r="F149" i="385"/>
  <c r="E149" i="385"/>
  <c r="D149" i="385"/>
  <c r="C149" i="385"/>
  <c r="S148" i="385"/>
  <c r="R148" i="385"/>
  <c r="Q148" i="385"/>
  <c r="P148" i="385"/>
  <c r="M148" i="385"/>
  <c r="L148" i="385"/>
  <c r="K148" i="385"/>
  <c r="J148" i="385"/>
  <c r="H148" i="385"/>
  <c r="G148" i="385"/>
  <c r="F148" i="385"/>
  <c r="E148" i="385"/>
  <c r="D148" i="385"/>
  <c r="C148" i="385"/>
  <c r="S147" i="385"/>
  <c r="R147" i="385"/>
  <c r="Q147" i="385"/>
  <c r="P147" i="385"/>
  <c r="M147" i="385"/>
  <c r="L147" i="385"/>
  <c r="K147" i="385"/>
  <c r="J147" i="385"/>
  <c r="H147" i="385"/>
  <c r="G147" i="385"/>
  <c r="F147" i="385"/>
  <c r="E147" i="385"/>
  <c r="D147" i="385"/>
  <c r="C147" i="385"/>
  <c r="S146" i="385"/>
  <c r="R146" i="385"/>
  <c r="Q146" i="385"/>
  <c r="P146" i="385"/>
  <c r="M146" i="385"/>
  <c r="L146" i="385"/>
  <c r="K146" i="385"/>
  <c r="J146" i="385"/>
  <c r="I146" i="385"/>
  <c r="H146" i="385"/>
  <c r="G146" i="385"/>
  <c r="F146" i="385"/>
  <c r="E146" i="385"/>
  <c r="D146" i="385"/>
  <c r="C146" i="385"/>
  <c r="S145" i="385"/>
  <c r="R145" i="385"/>
  <c r="Q145" i="385"/>
  <c r="P145" i="385"/>
  <c r="M145" i="385"/>
  <c r="L145" i="385"/>
  <c r="K145" i="385"/>
  <c r="J145" i="385"/>
  <c r="H145" i="385"/>
  <c r="G145" i="385"/>
  <c r="F145" i="385"/>
  <c r="E145" i="385"/>
  <c r="D145" i="385"/>
  <c r="C145" i="385"/>
  <c r="S144" i="385"/>
  <c r="R144" i="385"/>
  <c r="Q144" i="385"/>
  <c r="P144" i="385"/>
  <c r="M144" i="385"/>
  <c r="L144" i="385"/>
  <c r="K144" i="385"/>
  <c r="J144" i="385"/>
  <c r="H144" i="385"/>
  <c r="G144" i="385"/>
  <c r="F144" i="385"/>
  <c r="E144" i="385"/>
  <c r="D144" i="385"/>
  <c r="C144" i="385"/>
  <c r="S143" i="385"/>
  <c r="R143" i="385"/>
  <c r="Q143" i="385"/>
  <c r="P143" i="385"/>
  <c r="M143" i="385"/>
  <c r="L143" i="385"/>
  <c r="K143" i="385"/>
  <c r="J143" i="385"/>
  <c r="H143" i="385"/>
  <c r="G143" i="385"/>
  <c r="F143" i="385"/>
  <c r="E143" i="385"/>
  <c r="D143" i="385"/>
  <c r="C143" i="385"/>
  <c r="S142" i="385"/>
  <c r="R142" i="385"/>
  <c r="Q142" i="385"/>
  <c r="P142" i="385"/>
  <c r="M142" i="385"/>
  <c r="L142" i="385"/>
  <c r="K142" i="385"/>
  <c r="J142" i="385"/>
  <c r="I142" i="385"/>
  <c r="H142" i="385"/>
  <c r="G142" i="385"/>
  <c r="F142" i="385"/>
  <c r="E142" i="385"/>
  <c r="D142" i="385"/>
  <c r="C142" i="385"/>
  <c r="S141" i="385"/>
  <c r="R141" i="385"/>
  <c r="Q141" i="385"/>
  <c r="P141" i="385"/>
  <c r="M141" i="385"/>
  <c r="L141" i="385"/>
  <c r="K141" i="385"/>
  <c r="J141" i="385"/>
  <c r="H141" i="385"/>
  <c r="G141" i="385"/>
  <c r="F141" i="385"/>
  <c r="E141" i="385"/>
  <c r="D141" i="385"/>
  <c r="C141" i="385"/>
  <c r="S140" i="385"/>
  <c r="R140" i="385"/>
  <c r="Q140" i="385"/>
  <c r="P140" i="385"/>
  <c r="M140" i="385"/>
  <c r="L140" i="385"/>
  <c r="K140" i="385"/>
  <c r="J140" i="385"/>
  <c r="H140" i="385"/>
  <c r="G140" i="385"/>
  <c r="F140" i="385"/>
  <c r="E140" i="385"/>
  <c r="D140" i="385"/>
  <c r="C140" i="385"/>
  <c r="S139" i="385"/>
  <c r="R139" i="385"/>
  <c r="Q139" i="385"/>
  <c r="P139" i="385"/>
  <c r="M139" i="385"/>
  <c r="L139" i="385"/>
  <c r="K139" i="385"/>
  <c r="J139" i="385"/>
  <c r="H139" i="385"/>
  <c r="G139" i="385"/>
  <c r="F139" i="385"/>
  <c r="E139" i="385"/>
  <c r="D139" i="385"/>
  <c r="C139" i="385"/>
  <c r="S138" i="385"/>
  <c r="R138" i="385"/>
  <c r="Q138" i="385"/>
  <c r="P138" i="385"/>
  <c r="M138" i="385"/>
  <c r="L138" i="385"/>
  <c r="K138" i="385"/>
  <c r="J138" i="385"/>
  <c r="I138" i="385"/>
  <c r="H138" i="385"/>
  <c r="G138" i="385"/>
  <c r="F138" i="385"/>
  <c r="E138" i="385"/>
  <c r="D138" i="385"/>
  <c r="C138" i="385"/>
  <c r="S137" i="385"/>
  <c r="R137" i="385"/>
  <c r="Q137" i="385"/>
  <c r="P137" i="385"/>
  <c r="M137" i="385"/>
  <c r="L137" i="385"/>
  <c r="K137" i="385"/>
  <c r="J137" i="385"/>
  <c r="H137" i="385"/>
  <c r="G137" i="385"/>
  <c r="F137" i="385"/>
  <c r="E137" i="385"/>
  <c r="D137" i="385"/>
  <c r="C137" i="385"/>
  <c r="S136" i="385"/>
  <c r="R136" i="385"/>
  <c r="Q136" i="385"/>
  <c r="P136" i="385"/>
  <c r="M136" i="385"/>
  <c r="L136" i="385"/>
  <c r="K136" i="385"/>
  <c r="J136" i="385"/>
  <c r="H136" i="385"/>
  <c r="G136" i="385"/>
  <c r="F136" i="385"/>
  <c r="E136" i="385"/>
  <c r="D136" i="385"/>
  <c r="C136" i="385"/>
  <c r="S135" i="385"/>
  <c r="R135" i="385"/>
  <c r="Q135" i="385"/>
  <c r="P135" i="385"/>
  <c r="M135" i="385"/>
  <c r="L135" i="385"/>
  <c r="K135" i="385"/>
  <c r="J135" i="385"/>
  <c r="H135" i="385"/>
  <c r="G135" i="385"/>
  <c r="F135" i="385"/>
  <c r="E135" i="385"/>
  <c r="D135" i="385"/>
  <c r="C135" i="385"/>
  <c r="S134" i="385"/>
  <c r="R134" i="385"/>
  <c r="Q134" i="385"/>
  <c r="P134" i="385"/>
  <c r="M134" i="385"/>
  <c r="L134" i="385"/>
  <c r="K134" i="385"/>
  <c r="J134" i="385"/>
  <c r="I134" i="385"/>
  <c r="H134" i="385"/>
  <c r="G134" i="385"/>
  <c r="F134" i="385"/>
  <c r="E134" i="385"/>
  <c r="D134" i="385"/>
  <c r="C134" i="385"/>
  <c r="S133" i="385"/>
  <c r="R133" i="385"/>
  <c r="Q133" i="385"/>
  <c r="P133" i="385"/>
  <c r="M133" i="385"/>
  <c r="L133" i="385"/>
  <c r="K133" i="385"/>
  <c r="J133" i="385"/>
  <c r="H133" i="385"/>
  <c r="G133" i="385"/>
  <c r="F133" i="385"/>
  <c r="E133" i="385"/>
  <c r="D133" i="385"/>
  <c r="C133" i="385"/>
  <c r="S132" i="385"/>
  <c r="R132" i="385"/>
  <c r="Q132" i="385"/>
  <c r="P132" i="385"/>
  <c r="M132" i="385"/>
  <c r="L132" i="385"/>
  <c r="K132" i="385"/>
  <c r="J132" i="385"/>
  <c r="H132" i="385"/>
  <c r="G132" i="385"/>
  <c r="F132" i="385"/>
  <c r="E132" i="385"/>
  <c r="D132" i="385"/>
  <c r="C132" i="385"/>
  <c r="S131" i="385"/>
  <c r="R131" i="385"/>
  <c r="Q131" i="385"/>
  <c r="P131" i="385"/>
  <c r="M131" i="385"/>
  <c r="L131" i="385"/>
  <c r="K131" i="385"/>
  <c r="J131" i="385"/>
  <c r="H131" i="385"/>
  <c r="G131" i="385"/>
  <c r="F131" i="385"/>
  <c r="E131" i="385"/>
  <c r="D131" i="385"/>
  <c r="C131" i="385"/>
  <c r="S130" i="385"/>
  <c r="R130" i="385"/>
  <c r="Q130" i="385"/>
  <c r="P130" i="385"/>
  <c r="M130" i="385"/>
  <c r="L130" i="385"/>
  <c r="K130" i="385"/>
  <c r="J130" i="385"/>
  <c r="I130" i="385"/>
  <c r="H130" i="385"/>
  <c r="G130" i="385"/>
  <c r="F130" i="385"/>
  <c r="E130" i="385"/>
  <c r="D130" i="385"/>
  <c r="C130" i="385"/>
  <c r="S129" i="385"/>
  <c r="R129" i="385"/>
  <c r="Q129" i="385"/>
  <c r="P129" i="385"/>
  <c r="M129" i="385"/>
  <c r="L129" i="385"/>
  <c r="K129" i="385"/>
  <c r="J129" i="385"/>
  <c r="H129" i="385"/>
  <c r="G129" i="385"/>
  <c r="F129" i="385"/>
  <c r="E129" i="385"/>
  <c r="D129" i="385"/>
  <c r="C129" i="385"/>
  <c r="S128" i="385"/>
  <c r="R128" i="385"/>
  <c r="Q128" i="385"/>
  <c r="P128" i="385"/>
  <c r="M128" i="385"/>
  <c r="L128" i="385"/>
  <c r="K128" i="385"/>
  <c r="J128" i="385"/>
  <c r="H128" i="385"/>
  <c r="G128" i="385"/>
  <c r="F128" i="385"/>
  <c r="E128" i="385"/>
  <c r="D128" i="385"/>
  <c r="C128" i="385"/>
  <c r="S127" i="385"/>
  <c r="R127" i="385"/>
  <c r="Q127" i="385"/>
  <c r="P127" i="385"/>
  <c r="M127" i="385"/>
  <c r="L127" i="385"/>
  <c r="K127" i="385"/>
  <c r="J127" i="385"/>
  <c r="H127" i="385"/>
  <c r="G127" i="385"/>
  <c r="F127" i="385"/>
  <c r="E127" i="385"/>
  <c r="D127" i="385"/>
  <c r="C127" i="385"/>
  <c r="S126" i="385"/>
  <c r="R126" i="385"/>
  <c r="Q126" i="385"/>
  <c r="P126" i="385"/>
  <c r="M126" i="385"/>
  <c r="L126" i="385"/>
  <c r="K126" i="385"/>
  <c r="J126" i="385"/>
  <c r="I126" i="385"/>
  <c r="H126" i="385"/>
  <c r="G126" i="385"/>
  <c r="F126" i="385"/>
  <c r="E126" i="385"/>
  <c r="D126" i="385"/>
  <c r="C126" i="385"/>
  <c r="S125" i="385"/>
  <c r="R125" i="385"/>
  <c r="Q125" i="385"/>
  <c r="P125" i="385"/>
  <c r="M125" i="385"/>
  <c r="L125" i="385"/>
  <c r="K125" i="385"/>
  <c r="J125" i="385"/>
  <c r="H125" i="385"/>
  <c r="G125" i="385"/>
  <c r="F125" i="385"/>
  <c r="E125" i="385"/>
  <c r="D125" i="385"/>
  <c r="C125" i="385"/>
  <c r="S124" i="385"/>
  <c r="R124" i="385"/>
  <c r="Q124" i="385"/>
  <c r="P124" i="385"/>
  <c r="M124" i="385"/>
  <c r="L124" i="385"/>
  <c r="K124" i="385"/>
  <c r="J124" i="385"/>
  <c r="H124" i="385"/>
  <c r="G124" i="385"/>
  <c r="F124" i="385"/>
  <c r="E124" i="385"/>
  <c r="D124" i="385"/>
  <c r="C124" i="385"/>
  <c r="S123" i="385"/>
  <c r="R123" i="385"/>
  <c r="Q123" i="385"/>
  <c r="P123" i="385"/>
  <c r="M123" i="385"/>
  <c r="L123" i="385"/>
  <c r="K123" i="385"/>
  <c r="J123" i="385"/>
  <c r="H123" i="385"/>
  <c r="G123" i="385"/>
  <c r="F123" i="385"/>
  <c r="E123" i="385"/>
  <c r="D123" i="385"/>
  <c r="C123" i="385"/>
  <c r="S122" i="385"/>
  <c r="R122" i="385"/>
  <c r="Q122" i="385"/>
  <c r="P122" i="385"/>
  <c r="M122" i="385"/>
  <c r="L122" i="385"/>
  <c r="K122" i="385"/>
  <c r="J122" i="385"/>
  <c r="I122" i="385"/>
  <c r="H122" i="385"/>
  <c r="G122" i="385"/>
  <c r="F122" i="385"/>
  <c r="E122" i="385"/>
  <c r="D122" i="385"/>
  <c r="C122" i="385"/>
  <c r="S121" i="385"/>
  <c r="R121" i="385"/>
  <c r="Q121" i="385"/>
  <c r="P121" i="385"/>
  <c r="M121" i="385"/>
  <c r="L121" i="385"/>
  <c r="K121" i="385"/>
  <c r="J121" i="385"/>
  <c r="H121" i="385"/>
  <c r="G121" i="385"/>
  <c r="F121" i="385"/>
  <c r="E121" i="385"/>
  <c r="D121" i="385"/>
  <c r="C121" i="385"/>
  <c r="S120" i="385"/>
  <c r="R120" i="385"/>
  <c r="Q120" i="385"/>
  <c r="P120" i="385"/>
  <c r="M120" i="385"/>
  <c r="L120" i="385"/>
  <c r="K120" i="385"/>
  <c r="J120" i="385"/>
  <c r="H120" i="385"/>
  <c r="G120" i="385"/>
  <c r="F120" i="385"/>
  <c r="E120" i="385"/>
  <c r="D120" i="385"/>
  <c r="C120" i="385"/>
  <c r="S119" i="385"/>
  <c r="R119" i="385"/>
  <c r="Q119" i="385"/>
  <c r="P119" i="385"/>
  <c r="M119" i="385"/>
  <c r="L119" i="385"/>
  <c r="K119" i="385"/>
  <c r="J119" i="385"/>
  <c r="H119" i="385"/>
  <c r="G119" i="385"/>
  <c r="F119" i="385"/>
  <c r="E119" i="385"/>
  <c r="D119" i="385"/>
  <c r="C119" i="385"/>
  <c r="S118" i="385"/>
  <c r="R118" i="385"/>
  <c r="Q118" i="385"/>
  <c r="P118" i="385"/>
  <c r="M118" i="385"/>
  <c r="L118" i="385"/>
  <c r="K118" i="385"/>
  <c r="J118" i="385"/>
  <c r="I118" i="385"/>
  <c r="H118" i="385"/>
  <c r="G118" i="385"/>
  <c r="F118" i="385"/>
  <c r="E118" i="385"/>
  <c r="D118" i="385"/>
  <c r="C118" i="385"/>
  <c r="S117" i="385"/>
  <c r="R117" i="385"/>
  <c r="Q117" i="385"/>
  <c r="P117" i="385"/>
  <c r="M117" i="385"/>
  <c r="L117" i="385"/>
  <c r="K117" i="385"/>
  <c r="J117" i="385"/>
  <c r="H117" i="385"/>
  <c r="G117" i="385"/>
  <c r="F117" i="385"/>
  <c r="E117" i="385"/>
  <c r="D117" i="385"/>
  <c r="C117" i="385"/>
  <c r="S116" i="385"/>
  <c r="R116" i="385"/>
  <c r="Q116" i="385"/>
  <c r="P116" i="385"/>
  <c r="M116" i="385"/>
  <c r="L116" i="385"/>
  <c r="K116" i="385"/>
  <c r="J116" i="385"/>
  <c r="H116" i="385"/>
  <c r="G116" i="385"/>
  <c r="F116" i="385"/>
  <c r="E116" i="385"/>
  <c r="D116" i="385"/>
  <c r="C116" i="385"/>
  <c r="S115" i="385"/>
  <c r="R115" i="385"/>
  <c r="Q115" i="385"/>
  <c r="P115" i="385"/>
  <c r="M115" i="385"/>
  <c r="L115" i="385"/>
  <c r="K115" i="385"/>
  <c r="J115" i="385"/>
  <c r="H115" i="385"/>
  <c r="G115" i="385"/>
  <c r="F115" i="385"/>
  <c r="E115" i="385"/>
  <c r="D115" i="385"/>
  <c r="C115" i="385"/>
  <c r="S114" i="385"/>
  <c r="R114" i="385"/>
  <c r="Q114" i="385"/>
  <c r="P114" i="385"/>
  <c r="M114" i="385"/>
  <c r="L114" i="385"/>
  <c r="K114" i="385"/>
  <c r="J114" i="385"/>
  <c r="I114" i="385"/>
  <c r="H114" i="385"/>
  <c r="G114" i="385"/>
  <c r="F114" i="385"/>
  <c r="E114" i="385"/>
  <c r="D114" i="385"/>
  <c r="C114" i="385"/>
  <c r="S113" i="385"/>
  <c r="R113" i="385"/>
  <c r="Q113" i="385"/>
  <c r="P113" i="385"/>
  <c r="M113" i="385"/>
  <c r="L113" i="385"/>
  <c r="K113" i="385"/>
  <c r="J113" i="385"/>
  <c r="H113" i="385"/>
  <c r="G113" i="385"/>
  <c r="F113" i="385"/>
  <c r="E113" i="385"/>
  <c r="D113" i="385"/>
  <c r="C113" i="385"/>
  <c r="S112" i="385"/>
  <c r="R112" i="385"/>
  <c r="Q112" i="385"/>
  <c r="P112" i="385"/>
  <c r="M112" i="385"/>
  <c r="L112" i="385"/>
  <c r="K112" i="385"/>
  <c r="J112" i="385"/>
  <c r="H112" i="385"/>
  <c r="G112" i="385"/>
  <c r="F112" i="385"/>
  <c r="E112" i="385"/>
  <c r="D112" i="385"/>
  <c r="C112" i="385"/>
  <c r="S111" i="385"/>
  <c r="R111" i="385"/>
  <c r="Q111" i="385"/>
  <c r="P111" i="385"/>
  <c r="M111" i="385"/>
  <c r="L111" i="385"/>
  <c r="K111" i="385"/>
  <c r="J111" i="385"/>
  <c r="H111" i="385"/>
  <c r="G111" i="385"/>
  <c r="F111" i="385"/>
  <c r="E111" i="385"/>
  <c r="D111" i="385"/>
  <c r="C111" i="385"/>
  <c r="S110" i="385"/>
  <c r="R110" i="385"/>
  <c r="Q110" i="385"/>
  <c r="P110" i="385"/>
  <c r="M110" i="385"/>
  <c r="L110" i="385"/>
  <c r="K110" i="385"/>
  <c r="J110" i="385"/>
  <c r="I110" i="385"/>
  <c r="H110" i="385"/>
  <c r="G110" i="385"/>
  <c r="F110" i="385"/>
  <c r="E110" i="385"/>
  <c r="D110" i="385"/>
  <c r="C110" i="385"/>
  <c r="S109" i="385"/>
  <c r="R109" i="385"/>
  <c r="Q109" i="385"/>
  <c r="P109" i="385"/>
  <c r="M109" i="385"/>
  <c r="L109" i="385"/>
  <c r="K109" i="385"/>
  <c r="J109" i="385"/>
  <c r="H109" i="385"/>
  <c r="G109" i="385"/>
  <c r="F109" i="385"/>
  <c r="E109" i="385"/>
  <c r="D109" i="385"/>
  <c r="C109" i="385"/>
  <c r="S108" i="385"/>
  <c r="R108" i="385"/>
  <c r="Q108" i="385"/>
  <c r="P108" i="385"/>
  <c r="M108" i="385"/>
  <c r="L108" i="385"/>
  <c r="K108" i="385"/>
  <c r="J108" i="385"/>
  <c r="H108" i="385"/>
  <c r="G108" i="385"/>
  <c r="F108" i="385"/>
  <c r="E108" i="385"/>
  <c r="D108" i="385"/>
  <c r="C108" i="385"/>
  <c r="S107" i="385"/>
  <c r="R107" i="385"/>
  <c r="Q107" i="385"/>
  <c r="P107" i="385"/>
  <c r="M107" i="385"/>
  <c r="L107" i="385"/>
  <c r="K107" i="385"/>
  <c r="J107" i="385"/>
  <c r="H107" i="385"/>
  <c r="G107" i="385"/>
  <c r="F107" i="385"/>
  <c r="E107" i="385"/>
  <c r="D107" i="385"/>
  <c r="C107" i="385"/>
  <c r="S106" i="385"/>
  <c r="R106" i="385"/>
  <c r="Q106" i="385"/>
  <c r="P106" i="385"/>
  <c r="M106" i="385"/>
  <c r="L106" i="385"/>
  <c r="K106" i="385"/>
  <c r="J106" i="385"/>
  <c r="I106" i="385"/>
  <c r="H106" i="385"/>
  <c r="G106" i="385"/>
  <c r="F106" i="385"/>
  <c r="E106" i="385"/>
  <c r="D106" i="385"/>
  <c r="C106" i="385"/>
  <c r="S105" i="385"/>
  <c r="R105" i="385"/>
  <c r="Q105" i="385"/>
  <c r="P105" i="385"/>
  <c r="M105" i="385"/>
  <c r="L105" i="385"/>
  <c r="K105" i="385"/>
  <c r="J105" i="385"/>
  <c r="H105" i="385"/>
  <c r="G105" i="385"/>
  <c r="F105" i="385"/>
  <c r="E105" i="385"/>
  <c r="D105" i="385"/>
  <c r="C105" i="385"/>
  <c r="S104" i="385"/>
  <c r="R104" i="385"/>
  <c r="Q104" i="385"/>
  <c r="P104" i="385"/>
  <c r="M104" i="385"/>
  <c r="L104" i="385"/>
  <c r="K104" i="385"/>
  <c r="J104" i="385"/>
  <c r="H104" i="385"/>
  <c r="G104" i="385"/>
  <c r="F104" i="385"/>
  <c r="E104" i="385"/>
  <c r="D104" i="385"/>
  <c r="C104" i="385"/>
  <c r="S103" i="385"/>
  <c r="R103" i="385"/>
  <c r="Q103" i="385"/>
  <c r="P103" i="385"/>
  <c r="M103" i="385"/>
  <c r="L103" i="385"/>
  <c r="K103" i="385"/>
  <c r="J103" i="385"/>
  <c r="H103" i="385"/>
  <c r="G103" i="385"/>
  <c r="F103" i="385"/>
  <c r="E103" i="385"/>
  <c r="D103" i="385"/>
  <c r="C103" i="385"/>
  <c r="S102" i="385"/>
  <c r="R102" i="385"/>
  <c r="Q102" i="385"/>
  <c r="P102" i="385"/>
  <c r="M102" i="385"/>
  <c r="L102" i="385"/>
  <c r="K102" i="385"/>
  <c r="J102" i="385"/>
  <c r="I102" i="385"/>
  <c r="H102" i="385"/>
  <c r="G102" i="385"/>
  <c r="F102" i="385"/>
  <c r="E102" i="385"/>
  <c r="D102" i="385"/>
  <c r="C102" i="385"/>
  <c r="S101" i="385"/>
  <c r="R101" i="385"/>
  <c r="Q101" i="385"/>
  <c r="P101" i="385"/>
  <c r="M101" i="385"/>
  <c r="L101" i="385"/>
  <c r="K101" i="385"/>
  <c r="J101" i="385"/>
  <c r="H101" i="385"/>
  <c r="G101" i="385"/>
  <c r="F101" i="385"/>
  <c r="E101" i="385"/>
  <c r="D101" i="385"/>
  <c r="C101" i="385"/>
  <c r="S100" i="385"/>
  <c r="R100" i="385"/>
  <c r="Q100" i="385"/>
  <c r="P100" i="385"/>
  <c r="M100" i="385"/>
  <c r="L100" i="385"/>
  <c r="K100" i="385"/>
  <c r="J100" i="385"/>
  <c r="H100" i="385"/>
  <c r="G100" i="385"/>
  <c r="F100" i="385"/>
  <c r="E100" i="385"/>
  <c r="D100" i="385"/>
  <c r="C100" i="385"/>
  <c r="S99" i="385"/>
  <c r="R99" i="385"/>
  <c r="Q99" i="385"/>
  <c r="P99" i="385"/>
  <c r="M99" i="385"/>
  <c r="L99" i="385"/>
  <c r="K99" i="385"/>
  <c r="J99" i="385"/>
  <c r="H99" i="385"/>
  <c r="G99" i="385"/>
  <c r="F99" i="385"/>
  <c r="E99" i="385"/>
  <c r="D99" i="385"/>
  <c r="C99" i="385"/>
  <c r="S98" i="385"/>
  <c r="R98" i="385"/>
  <c r="Q98" i="385"/>
  <c r="P98" i="385"/>
  <c r="M98" i="385"/>
  <c r="L98" i="385"/>
  <c r="K98" i="385"/>
  <c r="J98" i="385"/>
  <c r="I98" i="385"/>
  <c r="H98" i="385"/>
  <c r="G98" i="385"/>
  <c r="F98" i="385"/>
  <c r="E98" i="385"/>
  <c r="D98" i="385"/>
  <c r="C98" i="385"/>
  <c r="S97" i="385"/>
  <c r="R97" i="385"/>
  <c r="Q97" i="385"/>
  <c r="P97" i="385"/>
  <c r="M97" i="385"/>
  <c r="L97" i="385"/>
  <c r="K97" i="385"/>
  <c r="J97" i="385"/>
  <c r="H97" i="385"/>
  <c r="G97" i="385"/>
  <c r="F97" i="385"/>
  <c r="E97" i="385"/>
  <c r="D97" i="385"/>
  <c r="C97" i="385"/>
  <c r="S96" i="385"/>
  <c r="R96" i="385"/>
  <c r="Q96" i="385"/>
  <c r="P96" i="385"/>
  <c r="M96" i="385"/>
  <c r="L96" i="385"/>
  <c r="K96" i="385"/>
  <c r="J96" i="385"/>
  <c r="H96" i="385"/>
  <c r="G96" i="385"/>
  <c r="F96" i="385"/>
  <c r="E96" i="385"/>
  <c r="D96" i="385"/>
  <c r="C96" i="385"/>
  <c r="S95" i="385"/>
  <c r="R95" i="385"/>
  <c r="Q95" i="385"/>
  <c r="P95" i="385"/>
  <c r="M95" i="385"/>
  <c r="L95" i="385"/>
  <c r="K95" i="385"/>
  <c r="J95" i="385"/>
  <c r="H95" i="385"/>
  <c r="G95" i="385"/>
  <c r="F95" i="385"/>
  <c r="E95" i="385"/>
  <c r="D95" i="385"/>
  <c r="C95" i="385"/>
  <c r="S94" i="385"/>
  <c r="R94" i="385"/>
  <c r="Q94" i="385"/>
  <c r="P94" i="385"/>
  <c r="M94" i="385"/>
  <c r="L94" i="385"/>
  <c r="K94" i="385"/>
  <c r="J94" i="385"/>
  <c r="I94" i="385"/>
  <c r="H94" i="385"/>
  <c r="G94" i="385"/>
  <c r="F94" i="385"/>
  <c r="E94" i="385"/>
  <c r="D94" i="385"/>
  <c r="C94" i="385"/>
  <c r="S93" i="385"/>
  <c r="R93" i="385"/>
  <c r="Q93" i="385"/>
  <c r="P93" i="385"/>
  <c r="M93" i="385"/>
  <c r="L93" i="385"/>
  <c r="K93" i="385"/>
  <c r="J93" i="385"/>
  <c r="H93" i="385"/>
  <c r="G93" i="385"/>
  <c r="F93" i="385"/>
  <c r="E93" i="385"/>
  <c r="D93" i="385"/>
  <c r="C93" i="385"/>
  <c r="S92" i="385"/>
  <c r="R92" i="385"/>
  <c r="Q92" i="385"/>
  <c r="P92" i="385"/>
  <c r="M92" i="385"/>
  <c r="L92" i="385"/>
  <c r="K92" i="385"/>
  <c r="J92" i="385"/>
  <c r="H92" i="385"/>
  <c r="G92" i="385"/>
  <c r="F92" i="385"/>
  <c r="E92" i="385"/>
  <c r="D92" i="385"/>
  <c r="C92" i="385"/>
  <c r="S91" i="385"/>
  <c r="R91" i="385"/>
  <c r="Q91" i="385"/>
  <c r="P91" i="385"/>
  <c r="M91" i="385"/>
  <c r="L91" i="385"/>
  <c r="K91" i="385"/>
  <c r="J91" i="385"/>
  <c r="H91" i="385"/>
  <c r="G91" i="385"/>
  <c r="F91" i="385"/>
  <c r="E91" i="385"/>
  <c r="D91" i="385"/>
  <c r="C91" i="385"/>
  <c r="S90" i="385"/>
  <c r="R90" i="385"/>
  <c r="Q90" i="385"/>
  <c r="P90" i="385"/>
  <c r="M90" i="385"/>
  <c r="L90" i="385"/>
  <c r="K90" i="385"/>
  <c r="J90" i="385"/>
  <c r="I90" i="385"/>
  <c r="H90" i="385"/>
  <c r="G90" i="385"/>
  <c r="F90" i="385"/>
  <c r="E90" i="385"/>
  <c r="D90" i="385"/>
  <c r="C90" i="385"/>
  <c r="S89" i="385"/>
  <c r="R89" i="385"/>
  <c r="Q89" i="385"/>
  <c r="P89" i="385"/>
  <c r="M89" i="385"/>
  <c r="L89" i="385"/>
  <c r="K89" i="385"/>
  <c r="J89" i="385"/>
  <c r="H89" i="385"/>
  <c r="G89" i="385"/>
  <c r="F89" i="385"/>
  <c r="E89" i="385"/>
  <c r="D89" i="385"/>
  <c r="C89" i="385"/>
  <c r="S88" i="385"/>
  <c r="R88" i="385"/>
  <c r="Q88" i="385"/>
  <c r="P88" i="385"/>
  <c r="M88" i="385"/>
  <c r="L88" i="385"/>
  <c r="K88" i="385"/>
  <c r="J88" i="385"/>
  <c r="H88" i="385"/>
  <c r="G88" i="385"/>
  <c r="F88" i="385"/>
  <c r="E88" i="385"/>
  <c r="D88" i="385"/>
  <c r="C88" i="385"/>
  <c r="S87" i="385"/>
  <c r="R87" i="385"/>
  <c r="Q87" i="385"/>
  <c r="P87" i="385"/>
  <c r="M87" i="385"/>
  <c r="L87" i="385"/>
  <c r="K87" i="385"/>
  <c r="J87" i="385"/>
  <c r="H87" i="385"/>
  <c r="G87" i="385"/>
  <c r="F87" i="385"/>
  <c r="E87" i="385"/>
  <c r="D87" i="385"/>
  <c r="C87" i="385"/>
  <c r="S86" i="385"/>
  <c r="R86" i="385"/>
  <c r="Q86" i="385"/>
  <c r="P86" i="385"/>
  <c r="M86" i="385"/>
  <c r="L86" i="385"/>
  <c r="K86" i="385"/>
  <c r="J86" i="385"/>
  <c r="I86" i="385"/>
  <c r="H86" i="385"/>
  <c r="G86" i="385"/>
  <c r="F86" i="385"/>
  <c r="E86" i="385"/>
  <c r="D86" i="385"/>
  <c r="C86" i="385"/>
  <c r="S85" i="385"/>
  <c r="R85" i="385"/>
  <c r="Q85" i="385"/>
  <c r="P85" i="385"/>
  <c r="M85" i="385"/>
  <c r="L85" i="385"/>
  <c r="K85" i="385"/>
  <c r="J85" i="385"/>
  <c r="H85" i="385"/>
  <c r="G85" i="385"/>
  <c r="F85" i="385"/>
  <c r="E85" i="385"/>
  <c r="D85" i="385"/>
  <c r="C85" i="385"/>
  <c r="S84" i="385"/>
  <c r="R84" i="385"/>
  <c r="Q84" i="385"/>
  <c r="P84" i="385"/>
  <c r="M84" i="385"/>
  <c r="L84" i="385"/>
  <c r="K84" i="385"/>
  <c r="J84" i="385"/>
  <c r="H84" i="385"/>
  <c r="G84" i="385"/>
  <c r="F84" i="385"/>
  <c r="E84" i="385"/>
  <c r="D84" i="385"/>
  <c r="C84" i="385"/>
  <c r="S83" i="385"/>
  <c r="R83" i="385"/>
  <c r="Q83" i="385"/>
  <c r="P83" i="385"/>
  <c r="M83" i="385"/>
  <c r="L83" i="385"/>
  <c r="K83" i="385"/>
  <c r="J83" i="385"/>
  <c r="H83" i="385"/>
  <c r="G83" i="385"/>
  <c r="F83" i="385"/>
  <c r="E83" i="385"/>
  <c r="D83" i="385"/>
  <c r="C83" i="385"/>
  <c r="S82" i="385"/>
  <c r="R82" i="385"/>
  <c r="Q82" i="385"/>
  <c r="P82" i="385"/>
  <c r="M82" i="385"/>
  <c r="L82" i="385"/>
  <c r="K82" i="385"/>
  <c r="J82" i="385"/>
  <c r="I82" i="385"/>
  <c r="H82" i="385"/>
  <c r="G82" i="385"/>
  <c r="F82" i="385"/>
  <c r="E82" i="385"/>
  <c r="D82" i="385"/>
  <c r="C82" i="385"/>
  <c r="S81" i="385"/>
  <c r="R81" i="385"/>
  <c r="Q81" i="385"/>
  <c r="P81" i="385"/>
  <c r="M81" i="385"/>
  <c r="L81" i="385"/>
  <c r="K81" i="385"/>
  <c r="J81" i="385"/>
  <c r="H81" i="385"/>
  <c r="G81" i="385"/>
  <c r="F81" i="385"/>
  <c r="E81" i="385"/>
  <c r="D81" i="385"/>
  <c r="C81" i="385"/>
  <c r="S80" i="385"/>
  <c r="R80" i="385"/>
  <c r="Q80" i="385"/>
  <c r="P80" i="385"/>
  <c r="M80" i="385"/>
  <c r="L80" i="385"/>
  <c r="K80" i="385"/>
  <c r="J80" i="385"/>
  <c r="H80" i="385"/>
  <c r="G80" i="385"/>
  <c r="F80" i="385"/>
  <c r="E80" i="385"/>
  <c r="D80" i="385"/>
  <c r="C80" i="385"/>
  <c r="Q79" i="385"/>
  <c r="P79" i="385"/>
  <c r="M79" i="385"/>
  <c r="L79" i="385"/>
  <c r="K79" i="385"/>
  <c r="J79" i="385"/>
  <c r="H79" i="385"/>
  <c r="G79" i="385"/>
  <c r="F79" i="385"/>
  <c r="E79" i="385"/>
  <c r="D79" i="385"/>
  <c r="C79" i="385"/>
  <c r="Q78" i="385"/>
  <c r="M78" i="385"/>
  <c r="L78" i="385"/>
  <c r="K78" i="385"/>
  <c r="J78" i="385"/>
  <c r="I78" i="385"/>
  <c r="H78" i="385"/>
  <c r="G78" i="385"/>
  <c r="F78" i="385"/>
  <c r="E78" i="385"/>
  <c r="D78" i="385"/>
  <c r="C78" i="385"/>
  <c r="Q77" i="385"/>
  <c r="M77" i="385"/>
  <c r="L77" i="385"/>
  <c r="K77" i="385"/>
  <c r="J77" i="385"/>
  <c r="H77" i="385"/>
  <c r="G77" i="385"/>
  <c r="F77" i="385"/>
  <c r="E77" i="385"/>
  <c r="D77" i="385"/>
  <c r="C77" i="385"/>
  <c r="Q76" i="385"/>
  <c r="M76" i="385"/>
  <c r="L76" i="385"/>
  <c r="K76" i="385"/>
  <c r="J76" i="385"/>
  <c r="H76" i="385"/>
  <c r="G76" i="385"/>
  <c r="F76" i="385"/>
  <c r="E76" i="385"/>
  <c r="D76" i="385"/>
  <c r="C76" i="385"/>
  <c r="Q75" i="385"/>
  <c r="P75" i="385"/>
  <c r="M75" i="385"/>
  <c r="L75" i="385"/>
  <c r="K75" i="385"/>
  <c r="J75" i="385"/>
  <c r="H75" i="385"/>
  <c r="G75" i="385"/>
  <c r="F75" i="385"/>
  <c r="E75" i="385"/>
  <c r="D75" i="385"/>
  <c r="C75" i="385"/>
  <c r="Q74" i="385"/>
  <c r="M74" i="385"/>
  <c r="L74" i="385"/>
  <c r="K74" i="385"/>
  <c r="J74" i="385"/>
  <c r="I74" i="385"/>
  <c r="H74" i="385"/>
  <c r="G74" i="385"/>
  <c r="F74" i="385"/>
  <c r="E74" i="385"/>
  <c r="D74" i="385"/>
  <c r="C74" i="385"/>
  <c r="Q73" i="385"/>
  <c r="M73" i="385"/>
  <c r="L73" i="385"/>
  <c r="K73" i="385"/>
  <c r="J73" i="385"/>
  <c r="H73" i="385"/>
  <c r="G73" i="385"/>
  <c r="F73" i="385"/>
  <c r="E73" i="385"/>
  <c r="D73" i="385"/>
  <c r="C73" i="385"/>
  <c r="Q72" i="385"/>
  <c r="M72" i="385"/>
  <c r="L72" i="385"/>
  <c r="K72" i="385"/>
  <c r="J72" i="385"/>
  <c r="H72" i="385"/>
  <c r="G72" i="385"/>
  <c r="F72" i="385"/>
  <c r="E72" i="385"/>
  <c r="D72" i="385"/>
  <c r="C72" i="385"/>
  <c r="Q71" i="385"/>
  <c r="P71" i="385"/>
  <c r="M71" i="385"/>
  <c r="L71" i="385"/>
  <c r="K71" i="385"/>
  <c r="J71" i="385"/>
  <c r="H71" i="385"/>
  <c r="G71" i="385"/>
  <c r="F71" i="385"/>
  <c r="E71" i="385"/>
  <c r="D71" i="385"/>
  <c r="C71" i="385"/>
  <c r="Q70" i="385"/>
  <c r="M70" i="385"/>
  <c r="L70" i="385"/>
  <c r="K70" i="385"/>
  <c r="J70" i="385"/>
  <c r="I70" i="385"/>
  <c r="H70" i="385"/>
  <c r="G70" i="385"/>
  <c r="F70" i="385"/>
  <c r="E70" i="385"/>
  <c r="D70" i="385"/>
  <c r="C70" i="385"/>
  <c r="Q69" i="385"/>
  <c r="M69" i="385"/>
  <c r="L69" i="385"/>
  <c r="K69" i="385"/>
  <c r="J69" i="385"/>
  <c r="H69" i="385"/>
  <c r="G69" i="385"/>
  <c r="F69" i="385"/>
  <c r="E69" i="385"/>
  <c r="D69" i="385"/>
  <c r="C69" i="385"/>
  <c r="Q68" i="385"/>
  <c r="M68" i="385"/>
  <c r="L68" i="385"/>
  <c r="K68" i="385"/>
  <c r="J68" i="385"/>
  <c r="H68" i="385"/>
  <c r="G68" i="385"/>
  <c r="F68" i="385"/>
  <c r="E68" i="385"/>
  <c r="D68" i="385"/>
  <c r="C68" i="385"/>
  <c r="Q67" i="385"/>
  <c r="P67" i="385"/>
  <c r="M67" i="385"/>
  <c r="L67" i="385"/>
  <c r="K67" i="385"/>
  <c r="J67" i="385"/>
  <c r="H67" i="385"/>
  <c r="G67" i="385"/>
  <c r="F67" i="385"/>
  <c r="E67" i="385"/>
  <c r="D67" i="385"/>
  <c r="C67" i="385"/>
  <c r="Q66" i="385"/>
  <c r="M66" i="385"/>
  <c r="L66" i="385"/>
  <c r="K66" i="385"/>
  <c r="J66" i="385"/>
  <c r="I66" i="385"/>
  <c r="H66" i="385"/>
  <c r="G66" i="385"/>
  <c r="F66" i="385"/>
  <c r="E66" i="385"/>
  <c r="D66" i="385"/>
  <c r="C66" i="385"/>
  <c r="Q65" i="385"/>
  <c r="M65" i="385"/>
  <c r="L65" i="385"/>
  <c r="K65" i="385"/>
  <c r="J65" i="385"/>
  <c r="H65" i="385"/>
  <c r="G65" i="385"/>
  <c r="F65" i="385"/>
  <c r="E65" i="385"/>
  <c r="D65" i="385"/>
  <c r="C65" i="385"/>
  <c r="Q64" i="385"/>
  <c r="M64" i="385"/>
  <c r="L64" i="385"/>
  <c r="K64" i="385"/>
  <c r="J64" i="385"/>
  <c r="H64" i="385"/>
  <c r="G64" i="385"/>
  <c r="F64" i="385"/>
  <c r="E64" i="385"/>
  <c r="D64" i="385"/>
  <c r="C64" i="385"/>
  <c r="Q63" i="385"/>
  <c r="P63" i="385"/>
  <c r="M63" i="385"/>
  <c r="L63" i="385"/>
  <c r="K63" i="385"/>
  <c r="J63" i="385"/>
  <c r="H63" i="385"/>
  <c r="G63" i="385"/>
  <c r="F63" i="385"/>
  <c r="E63" i="385"/>
  <c r="D63" i="385"/>
  <c r="C63" i="385"/>
  <c r="Q62" i="385"/>
  <c r="P62" i="385"/>
  <c r="M62" i="385"/>
  <c r="L62" i="385"/>
  <c r="K62" i="385"/>
  <c r="J62" i="385"/>
  <c r="I62" i="385"/>
  <c r="H62" i="385"/>
  <c r="G62" i="385"/>
  <c r="F62" i="385"/>
  <c r="E62" i="385"/>
  <c r="D62" i="385"/>
  <c r="C62" i="385"/>
  <c r="Q61" i="385"/>
  <c r="P61" i="385"/>
  <c r="M61" i="385"/>
  <c r="L61" i="385"/>
  <c r="K61" i="385"/>
  <c r="J61" i="385"/>
  <c r="H61" i="385"/>
  <c r="G61" i="385"/>
  <c r="F61" i="385"/>
  <c r="E61" i="385"/>
  <c r="D61" i="385"/>
  <c r="C61" i="385"/>
  <c r="Q60" i="385"/>
  <c r="P60" i="385"/>
  <c r="M60" i="385"/>
  <c r="L60" i="385"/>
  <c r="K60" i="385"/>
  <c r="J60" i="385"/>
  <c r="H60" i="385"/>
  <c r="G60" i="385"/>
  <c r="F60" i="385"/>
  <c r="E60" i="385"/>
  <c r="D60" i="385"/>
  <c r="C60" i="385"/>
  <c r="Q59" i="385"/>
  <c r="P59" i="385"/>
  <c r="M59" i="385"/>
  <c r="L59" i="385"/>
  <c r="K59" i="385"/>
  <c r="J59" i="385"/>
  <c r="H59" i="385"/>
  <c r="G59" i="385"/>
  <c r="F59" i="385"/>
  <c r="E59" i="385"/>
  <c r="D59" i="385"/>
  <c r="C59" i="385"/>
  <c r="Q58" i="385"/>
  <c r="P58" i="385"/>
  <c r="M58" i="385"/>
  <c r="L58" i="385"/>
  <c r="K58" i="385"/>
  <c r="J58" i="385"/>
  <c r="I58" i="385"/>
  <c r="H58" i="385"/>
  <c r="G58" i="385"/>
  <c r="F58" i="385"/>
  <c r="E58" i="385"/>
  <c r="D58" i="385"/>
  <c r="C58" i="385"/>
  <c r="Q57" i="385"/>
  <c r="P57" i="385"/>
  <c r="M57" i="385"/>
  <c r="L57" i="385"/>
  <c r="K57" i="385"/>
  <c r="J57" i="385"/>
  <c r="H57" i="385"/>
  <c r="G57" i="385"/>
  <c r="F57" i="385"/>
  <c r="E57" i="385"/>
  <c r="D57" i="385"/>
  <c r="C57" i="385"/>
  <c r="Q56" i="385"/>
  <c r="M56" i="385"/>
  <c r="L56" i="385"/>
  <c r="K56" i="385"/>
  <c r="J56" i="385"/>
  <c r="H56" i="385"/>
  <c r="G56" i="385"/>
  <c r="F56" i="385"/>
  <c r="E56" i="385"/>
  <c r="D56" i="385"/>
  <c r="C56" i="385"/>
  <c r="Q55" i="385"/>
  <c r="P55" i="385"/>
  <c r="M55" i="385"/>
  <c r="L55" i="385"/>
  <c r="K55" i="385"/>
  <c r="J55" i="385"/>
  <c r="H55" i="385"/>
  <c r="G55" i="385"/>
  <c r="F55" i="385"/>
  <c r="E55" i="385"/>
  <c r="D55" i="385"/>
  <c r="C55" i="385"/>
  <c r="Q54" i="385"/>
  <c r="M54" i="385"/>
  <c r="L54" i="385"/>
  <c r="K54" i="385"/>
  <c r="J54" i="385"/>
  <c r="I54" i="385"/>
  <c r="H54" i="385"/>
  <c r="G54" i="385"/>
  <c r="F54" i="385"/>
  <c r="E54" i="385"/>
  <c r="D54" i="385"/>
  <c r="C54" i="385"/>
  <c r="Q53" i="385"/>
  <c r="D53" i="385"/>
  <c r="C53" i="385"/>
  <c r="Q52" i="385"/>
  <c r="C52" i="385"/>
  <c r="Q51" i="385"/>
  <c r="P51" i="385"/>
  <c r="C51" i="385"/>
  <c r="Q50" i="385"/>
  <c r="I50" i="385"/>
  <c r="C50" i="385"/>
  <c r="Q49" i="385"/>
  <c r="D49" i="385"/>
  <c r="C49" i="385"/>
  <c r="Q48" i="385"/>
  <c r="C48" i="385"/>
  <c r="Q47" i="385"/>
  <c r="P47" i="385"/>
  <c r="C47" i="385"/>
  <c r="Q46" i="385"/>
  <c r="I46" i="385"/>
  <c r="D46" i="385"/>
  <c r="C46" i="385"/>
  <c r="Q45" i="385"/>
  <c r="D45" i="385"/>
  <c r="C45" i="385"/>
  <c r="Q44" i="385"/>
  <c r="C44" i="385"/>
  <c r="Q43" i="385"/>
  <c r="P43" i="385"/>
  <c r="C43" i="385"/>
  <c r="Q42" i="385"/>
  <c r="I42" i="385"/>
  <c r="C42" i="385"/>
  <c r="Q41" i="385"/>
  <c r="D41" i="385"/>
  <c r="C41" i="385"/>
  <c r="Q40" i="385"/>
  <c r="C40" i="385"/>
  <c r="Q39" i="385"/>
  <c r="P39" i="385"/>
  <c r="C39" i="385"/>
  <c r="Q38" i="385"/>
  <c r="I38" i="385"/>
  <c r="C38" i="385"/>
  <c r="Q37" i="385"/>
  <c r="D37" i="385"/>
  <c r="C37" i="385"/>
  <c r="Q36" i="385"/>
  <c r="C36" i="385"/>
  <c r="Q35" i="385"/>
  <c r="P35" i="385"/>
  <c r="C35" i="385"/>
  <c r="Q34" i="385"/>
  <c r="I34" i="385"/>
  <c r="C34" i="385"/>
  <c r="Q33" i="385"/>
  <c r="D33" i="385"/>
  <c r="C33" i="385"/>
  <c r="Q32" i="385"/>
  <c r="C32" i="385"/>
  <c r="Q31" i="385"/>
  <c r="P31" i="385"/>
  <c r="C31" i="385"/>
  <c r="Q30" i="385"/>
  <c r="I30" i="385"/>
  <c r="C30" i="385"/>
  <c r="Q29" i="385"/>
  <c r="D29" i="385"/>
  <c r="C29" i="385"/>
  <c r="Q28" i="385"/>
  <c r="C28" i="385"/>
  <c r="Q27" i="385"/>
  <c r="P27" i="385"/>
  <c r="C27" i="385"/>
  <c r="Q26" i="385"/>
  <c r="I26" i="385"/>
  <c r="C26" i="385"/>
  <c r="Q25" i="385"/>
  <c r="D25" i="385"/>
  <c r="C25" i="385"/>
  <c r="Q24" i="385"/>
  <c r="P24" i="385"/>
  <c r="C24" i="385"/>
  <c r="Q23" i="385"/>
  <c r="P23" i="385"/>
  <c r="C23" i="385"/>
  <c r="Q22" i="385"/>
  <c r="P22" i="385"/>
  <c r="I22" i="385"/>
  <c r="C22" i="385"/>
  <c r="Q21" i="385"/>
  <c r="P21" i="385"/>
  <c r="D21" i="385"/>
  <c r="C21" i="385"/>
  <c r="Q20" i="385"/>
  <c r="P20" i="385"/>
  <c r="C20" i="385"/>
  <c r="Q19" i="385"/>
  <c r="P19" i="385"/>
  <c r="C19" i="385"/>
  <c r="Q18" i="385"/>
  <c r="P18" i="385"/>
  <c r="I18" i="385"/>
  <c r="C18" i="385"/>
  <c r="Q17" i="385"/>
  <c r="P17" i="385"/>
  <c r="D17" i="385"/>
  <c r="C17" i="385"/>
  <c r="Q16" i="385"/>
  <c r="P16" i="385"/>
  <c r="C16" i="385"/>
  <c r="Q15" i="385"/>
  <c r="P15" i="385"/>
  <c r="C15" i="385"/>
  <c r="Q14" i="385"/>
  <c r="I14" i="385"/>
  <c r="C14" i="385"/>
  <c r="Q13" i="385"/>
  <c r="D13" i="385"/>
  <c r="C13" i="385"/>
  <c r="Q12" i="385"/>
  <c r="C12" i="385"/>
  <c r="Q11" i="385"/>
  <c r="P11" i="385"/>
  <c r="C11" i="385"/>
  <c r="Q10" i="385"/>
  <c r="I10" i="385"/>
  <c r="C10" i="385"/>
  <c r="Q9" i="385"/>
  <c r="D9" i="385"/>
  <c r="C9" i="385"/>
  <c r="Q8" i="385"/>
  <c r="C8" i="385"/>
  <c r="Q7" i="385"/>
  <c r="P7" i="385"/>
  <c r="C7" i="385"/>
  <c r="Q6" i="385"/>
  <c r="I6" i="385"/>
  <c r="C6" i="385"/>
  <c r="Q5" i="385"/>
  <c r="D5" i="385"/>
  <c r="C5" i="385"/>
  <c r="N1" i="385"/>
  <c r="E248" i="89"/>
  <c r="F244" i="89"/>
  <c r="F245" i="89" s="1"/>
  <c r="F246" i="89" s="1"/>
  <c r="F247" i="89" s="1"/>
  <c r="AE237" i="89"/>
  <c r="R205" i="89" a="1"/>
  <c r="R205" i="89" l="1"/>
  <c r="S59" i="1"/>
  <c r="Q17" i="1"/>
  <c r="T17" i="1" s="1"/>
  <c r="Q59" i="1"/>
  <c r="T59" i="1" s="1"/>
  <c r="S60" i="1"/>
  <c r="Q60" i="1"/>
  <c r="T60" i="1" s="1"/>
  <c r="S27" i="385"/>
  <c r="V68" i="444"/>
  <c r="W68" i="444" s="1"/>
  <c r="V136" i="444"/>
  <c r="W136" i="444" s="1"/>
  <c r="V153" i="444"/>
  <c r="W153" i="444" s="1"/>
  <c r="S15" i="385"/>
  <c r="S20" i="385"/>
  <c r="S16" i="385"/>
  <c r="V164" i="444"/>
  <c r="W164" i="444" s="1"/>
  <c r="S57" i="385"/>
  <c r="S67" i="385"/>
  <c r="S22" i="385"/>
  <c r="S71" i="385"/>
  <c r="S60" i="385"/>
  <c r="S7" i="385"/>
  <c r="H53" i="54"/>
  <c r="H54" i="54" s="1"/>
  <c r="S23" i="385"/>
  <c r="S61" i="385"/>
  <c r="S31" i="385"/>
  <c r="S39" i="385"/>
  <c r="S63" i="385"/>
  <c r="S47" i="385"/>
  <c r="S55" i="385"/>
  <c r="S79" i="385"/>
  <c r="V51" i="444"/>
  <c r="W51" i="444" s="1"/>
  <c r="S21" i="385"/>
  <c r="S62" i="385"/>
  <c r="S35" i="385"/>
  <c r="V88" i="444"/>
  <c r="W88" i="444" s="1"/>
  <c r="S43" i="385"/>
  <c r="S59" i="385"/>
  <c r="V148" i="444"/>
  <c r="W148" i="444" s="1"/>
  <c r="S17" i="385"/>
  <c r="S51" i="385"/>
  <c r="S11" i="385"/>
  <c r="S18" i="385"/>
  <c r="S24" i="385"/>
  <c r="S75" i="385"/>
  <c r="S58" i="385"/>
  <c r="S19" i="385"/>
  <c r="V11" i="444"/>
  <c r="W11" i="444" s="1"/>
  <c r="B5" i="383"/>
  <c r="B4" i="383"/>
  <c r="E52" i="415"/>
  <c r="C19" i="415"/>
  <c r="D52" i="415"/>
  <c r="F5" i="385"/>
  <c r="K6" i="385"/>
  <c r="R7" i="385"/>
  <c r="F9" i="385"/>
  <c r="K10" i="385"/>
  <c r="R11" i="385"/>
  <c r="F13" i="385"/>
  <c r="K14" i="385"/>
  <c r="R15" i="385"/>
  <c r="F17" i="385"/>
  <c r="K18" i="385"/>
  <c r="R19" i="385"/>
  <c r="F21" i="385"/>
  <c r="K22" i="385"/>
  <c r="R23" i="385"/>
  <c r="F25" i="385"/>
  <c r="K26" i="385"/>
  <c r="R27" i="385"/>
  <c r="F29" i="385"/>
  <c r="K30" i="385"/>
  <c r="R31" i="385"/>
  <c r="F33" i="385"/>
  <c r="K34" i="385"/>
  <c r="R35" i="385"/>
  <c r="F37" i="385"/>
  <c r="K38" i="385"/>
  <c r="R39" i="385"/>
  <c r="F41" i="385"/>
  <c r="K42" i="385"/>
  <c r="R43" i="385"/>
  <c r="F45" i="385"/>
  <c r="K46" i="385"/>
  <c r="R47" i="385"/>
  <c r="F49" i="385"/>
  <c r="K50" i="385"/>
  <c r="R51" i="385"/>
  <c r="F53" i="385"/>
  <c r="R55" i="385"/>
  <c r="R59" i="385"/>
  <c r="R63" i="385"/>
  <c r="R67" i="385"/>
  <c r="R71" i="385"/>
  <c r="R75" i="385"/>
  <c r="R79" i="385"/>
  <c r="C6" i="415"/>
  <c r="E6" i="415" s="1"/>
  <c r="D19" i="415"/>
  <c r="C26" i="415"/>
  <c r="E26" i="415" s="1"/>
  <c r="D39" i="415"/>
  <c r="C46" i="415"/>
  <c r="G5" i="385"/>
  <c r="G9" i="385"/>
  <c r="G13" i="385"/>
  <c r="L18" i="385"/>
  <c r="G25" i="385"/>
  <c r="G29" i="385"/>
  <c r="L34" i="385"/>
  <c r="G45" i="385"/>
  <c r="G53" i="385"/>
  <c r="D6" i="415"/>
  <c r="D26" i="415"/>
  <c r="C33" i="415"/>
  <c r="D46" i="415"/>
  <c r="C53" i="415"/>
  <c r="V128" i="444"/>
  <c r="W128" i="444" s="1"/>
  <c r="I174" i="385"/>
  <c r="D25" i="415"/>
  <c r="D32" i="415"/>
  <c r="E32" i="415" s="1"/>
  <c r="C39" i="415"/>
  <c r="E39" i="415" s="1"/>
  <c r="L6" i="385"/>
  <c r="L10" i="385"/>
  <c r="L14" i="385"/>
  <c r="G17" i="385"/>
  <c r="G21" i="385"/>
  <c r="L22" i="385"/>
  <c r="L26" i="385"/>
  <c r="L30" i="385"/>
  <c r="G33" i="385"/>
  <c r="G37" i="385"/>
  <c r="L38" i="385"/>
  <c r="G41" i="385"/>
  <c r="L42" i="385"/>
  <c r="L46" i="385"/>
  <c r="G49" i="385"/>
  <c r="L50" i="385"/>
  <c r="C20" i="415"/>
  <c r="E20" i="415" s="1"/>
  <c r="D33" i="415"/>
  <c r="C40" i="415"/>
  <c r="D53" i="415"/>
  <c r="I5" i="385"/>
  <c r="D12" i="385"/>
  <c r="I17" i="385"/>
  <c r="P26" i="385"/>
  <c r="D36" i="385"/>
  <c r="P42" i="385"/>
  <c r="D52" i="385"/>
  <c r="I69" i="385"/>
  <c r="I85" i="385"/>
  <c r="I129" i="385"/>
  <c r="C7" i="415"/>
  <c r="D20" i="415"/>
  <c r="C27" i="415"/>
  <c r="D40" i="415"/>
  <c r="C47" i="415"/>
  <c r="V108" i="444"/>
  <c r="W108" i="444" s="1"/>
  <c r="D5" i="415"/>
  <c r="I9" i="385"/>
  <c r="D16" i="385"/>
  <c r="D24" i="385"/>
  <c r="I29" i="385"/>
  <c r="P34" i="385"/>
  <c r="P38" i="385"/>
  <c r="I45" i="385"/>
  <c r="I53" i="385"/>
  <c r="I65" i="385"/>
  <c r="I73" i="385"/>
  <c r="I81" i="385"/>
  <c r="I109" i="385"/>
  <c r="I117" i="385"/>
  <c r="I141" i="385"/>
  <c r="I161" i="385"/>
  <c r="I185" i="385"/>
  <c r="D7" i="415"/>
  <c r="D27" i="415"/>
  <c r="C34" i="415"/>
  <c r="D47" i="415"/>
  <c r="C54" i="415"/>
  <c r="V31" i="444"/>
  <c r="W31" i="444" s="1"/>
  <c r="P10" i="385"/>
  <c r="D20" i="385"/>
  <c r="I25" i="385"/>
  <c r="D32" i="385"/>
  <c r="I37" i="385"/>
  <c r="I41" i="385"/>
  <c r="P46" i="385"/>
  <c r="P50" i="385"/>
  <c r="P66" i="385"/>
  <c r="P78" i="385"/>
  <c r="I89" i="385"/>
  <c r="I101" i="385"/>
  <c r="I121" i="385"/>
  <c r="I145" i="385"/>
  <c r="I157" i="385"/>
  <c r="I181" i="385"/>
  <c r="K5" i="385"/>
  <c r="F12" i="385"/>
  <c r="K17" i="385"/>
  <c r="R18" i="385"/>
  <c r="F20" i="385"/>
  <c r="K21" i="385"/>
  <c r="R22" i="385"/>
  <c r="F24" i="385"/>
  <c r="K25" i="385"/>
  <c r="F28" i="385"/>
  <c r="K29" i="385"/>
  <c r="F32" i="385"/>
  <c r="K33" i="385"/>
  <c r="F36" i="385"/>
  <c r="K37" i="385"/>
  <c r="F40" i="385"/>
  <c r="K41" i="385"/>
  <c r="F44" i="385"/>
  <c r="K45" i="385"/>
  <c r="F48" i="385"/>
  <c r="K49" i="385"/>
  <c r="F52" i="385"/>
  <c r="K53" i="385"/>
  <c r="R58" i="385"/>
  <c r="R62" i="385"/>
  <c r="C21" i="415"/>
  <c r="D34" i="415"/>
  <c r="C41" i="415"/>
  <c r="D54" i="415"/>
  <c r="P6" i="385"/>
  <c r="P14" i="385"/>
  <c r="D28" i="385"/>
  <c r="I33" i="385"/>
  <c r="D44" i="385"/>
  <c r="I49" i="385"/>
  <c r="I57" i="385"/>
  <c r="P70" i="385"/>
  <c r="I77" i="385"/>
  <c r="I97" i="385"/>
  <c r="I113" i="385"/>
  <c r="I137" i="385"/>
  <c r="I153" i="385"/>
  <c r="I169" i="385"/>
  <c r="I177" i="385"/>
  <c r="F8" i="385"/>
  <c r="K13" i="385"/>
  <c r="L5" i="385"/>
  <c r="L9" i="385"/>
  <c r="L13" i="385"/>
  <c r="G20" i="385"/>
  <c r="G24" i="385"/>
  <c r="G28" i="385"/>
  <c r="G32" i="385"/>
  <c r="G36" i="385"/>
  <c r="L37" i="385"/>
  <c r="L41" i="385"/>
  <c r="G44" i="385"/>
  <c r="L45" i="385"/>
  <c r="G48" i="385"/>
  <c r="L49" i="385"/>
  <c r="G52" i="385"/>
  <c r="L53" i="385"/>
  <c r="C8" i="415"/>
  <c r="D21" i="415"/>
  <c r="C28" i="415"/>
  <c r="D41" i="415"/>
  <c r="C48" i="415"/>
  <c r="D8" i="385"/>
  <c r="I13" i="385"/>
  <c r="I21" i="385"/>
  <c r="P30" i="385"/>
  <c r="D40" i="385"/>
  <c r="D48" i="385"/>
  <c r="P54" i="385"/>
  <c r="I61" i="385"/>
  <c r="P74" i="385"/>
  <c r="I93" i="385"/>
  <c r="I105" i="385"/>
  <c r="I125" i="385"/>
  <c r="I133" i="385"/>
  <c r="I149" i="385"/>
  <c r="I165" i="385"/>
  <c r="I173" i="385"/>
  <c r="I189" i="385"/>
  <c r="K9" i="385"/>
  <c r="F16" i="385"/>
  <c r="G8" i="385"/>
  <c r="G12" i="385"/>
  <c r="G16" i="385"/>
  <c r="L17" i="385"/>
  <c r="L21" i="385"/>
  <c r="L25" i="385"/>
  <c r="L29" i="385"/>
  <c r="L33" i="385"/>
  <c r="G40" i="385"/>
  <c r="D8" i="415"/>
  <c r="D28" i="415"/>
  <c r="C35" i="415"/>
  <c r="E35" i="415" s="1"/>
  <c r="D48" i="415"/>
  <c r="I20" i="385"/>
  <c r="D31" i="385"/>
  <c r="I40" i="385"/>
  <c r="P45" i="385"/>
  <c r="I56" i="385"/>
  <c r="P73" i="385"/>
  <c r="I88" i="385"/>
  <c r="I104" i="385"/>
  <c r="I116" i="385"/>
  <c r="I132" i="385"/>
  <c r="C22" i="415"/>
  <c r="D35" i="415"/>
  <c r="I162" i="385"/>
  <c r="D7" i="385"/>
  <c r="D27" i="385"/>
  <c r="P41" i="385"/>
  <c r="I60" i="385"/>
  <c r="I76" i="385"/>
  <c r="I96" i="385"/>
  <c r="I136" i="385"/>
  <c r="I160" i="385"/>
  <c r="C9" i="415"/>
  <c r="D22" i="415"/>
  <c r="C29" i="415"/>
  <c r="C49" i="415"/>
  <c r="I190" i="385"/>
  <c r="P9" i="385"/>
  <c r="I24" i="385"/>
  <c r="D39" i="385"/>
  <c r="P53" i="385"/>
  <c r="I72" i="385"/>
  <c r="I80" i="385"/>
  <c r="I112" i="385"/>
  <c r="I140" i="385"/>
  <c r="I156" i="385"/>
  <c r="I180" i="385"/>
  <c r="F7" i="385"/>
  <c r="K12" i="385"/>
  <c r="K20" i="385"/>
  <c r="R21" i="385"/>
  <c r="K24" i="385"/>
  <c r="F31" i="385"/>
  <c r="K32" i="385"/>
  <c r="F35" i="385"/>
  <c r="K36" i="385"/>
  <c r="F39" i="385"/>
  <c r="K40" i="385"/>
  <c r="F43" i="385"/>
  <c r="K44" i="385"/>
  <c r="F47" i="385"/>
  <c r="K48" i="385"/>
  <c r="F51" i="385"/>
  <c r="K52" i="385"/>
  <c r="R57" i="385"/>
  <c r="R61" i="385"/>
  <c r="D9" i="415"/>
  <c r="D29" i="415"/>
  <c r="C36" i="415"/>
  <c r="D49" i="415"/>
  <c r="D15" i="385"/>
  <c r="D35" i="385"/>
  <c r="P49" i="385"/>
  <c r="I68" i="385"/>
  <c r="I84" i="385"/>
  <c r="I100" i="385"/>
  <c r="I124" i="385"/>
  <c r="I152" i="385"/>
  <c r="I172" i="385"/>
  <c r="F11" i="385"/>
  <c r="F19" i="385"/>
  <c r="F27" i="385"/>
  <c r="L8" i="385"/>
  <c r="G15" i="385"/>
  <c r="G19" i="385"/>
  <c r="L24" i="385"/>
  <c r="G31" i="385"/>
  <c r="G35" i="385"/>
  <c r="L40" i="385"/>
  <c r="L44" i="385"/>
  <c r="G47" i="385"/>
  <c r="L48" i="385"/>
  <c r="G51" i="385"/>
  <c r="L52" i="385"/>
  <c r="C23" i="415"/>
  <c r="D36" i="415"/>
  <c r="I8" i="385"/>
  <c r="D19" i="385"/>
  <c r="I28" i="385"/>
  <c r="P37" i="385"/>
  <c r="D51" i="385"/>
  <c r="I64" i="385"/>
  <c r="P77" i="385"/>
  <c r="I92" i="385"/>
  <c r="I108" i="385"/>
  <c r="I120" i="385"/>
  <c r="I128" i="385"/>
  <c r="I144" i="385"/>
  <c r="I148" i="385"/>
  <c r="I164" i="385"/>
  <c r="I168" i="385"/>
  <c r="I176" i="385"/>
  <c r="I184" i="385"/>
  <c r="I188" i="385"/>
  <c r="K8" i="385"/>
  <c r="F15" i="385"/>
  <c r="K16" i="385"/>
  <c r="R17" i="385"/>
  <c r="F23" i="385"/>
  <c r="K28" i="385"/>
  <c r="G7" i="385"/>
  <c r="G11" i="385"/>
  <c r="L12" i="385"/>
  <c r="L16" i="385"/>
  <c r="L20" i="385"/>
  <c r="G23" i="385"/>
  <c r="G27" i="385"/>
  <c r="L28" i="385"/>
  <c r="L32" i="385"/>
  <c r="L36" i="385"/>
  <c r="G39" i="385"/>
  <c r="G43" i="385"/>
  <c r="D23" i="415"/>
  <c r="C30" i="415"/>
  <c r="E30" i="415" s="1"/>
  <c r="C50" i="415"/>
  <c r="P13" i="385"/>
  <c r="P29" i="385"/>
  <c r="D47" i="385"/>
  <c r="D10" i="385"/>
  <c r="D42" i="385"/>
  <c r="P48" i="385"/>
  <c r="P56" i="385"/>
  <c r="I67" i="385"/>
  <c r="I75" i="385"/>
  <c r="I95" i="385"/>
  <c r="I115" i="385"/>
  <c r="I163" i="385"/>
  <c r="I183" i="385"/>
  <c r="D30" i="415"/>
  <c r="C37" i="415"/>
  <c r="E37" i="415" s="1"/>
  <c r="D50" i="415"/>
  <c r="I63" i="385"/>
  <c r="I151" i="385"/>
  <c r="C24" i="415"/>
  <c r="E24" i="415" s="1"/>
  <c r="D37" i="415"/>
  <c r="D14" i="385"/>
  <c r="D22" i="385"/>
  <c r="D26" i="385"/>
  <c r="P28" i="385"/>
  <c r="P32" i="385"/>
  <c r="I35" i="385"/>
  <c r="D38" i="385"/>
  <c r="P40" i="385"/>
  <c r="P44" i="385"/>
  <c r="I47" i="385"/>
  <c r="I51" i="385"/>
  <c r="I55" i="385"/>
  <c r="P64" i="385"/>
  <c r="I71" i="385"/>
  <c r="P72" i="385"/>
  <c r="I83" i="385"/>
  <c r="I103" i="385"/>
  <c r="I123" i="385"/>
  <c r="I131" i="385"/>
  <c r="I143" i="385"/>
  <c r="I167" i="385"/>
  <c r="I175" i="385"/>
  <c r="I191" i="385"/>
  <c r="K7" i="385"/>
  <c r="F14" i="385"/>
  <c r="K15" i="385"/>
  <c r="R16" i="385"/>
  <c r="F18" i="385"/>
  <c r="K19" i="385"/>
  <c r="R20" i="385"/>
  <c r="F22" i="385"/>
  <c r="K23" i="385"/>
  <c r="R24" i="385"/>
  <c r="F26" i="385"/>
  <c r="K27" i="385"/>
  <c r="F30" i="385"/>
  <c r="K31" i="385"/>
  <c r="F34" i="385"/>
  <c r="K35" i="385"/>
  <c r="F38" i="385"/>
  <c r="K39" i="385"/>
  <c r="F42" i="385"/>
  <c r="K43" i="385"/>
  <c r="F46" i="385"/>
  <c r="K47" i="385"/>
  <c r="F50" i="385"/>
  <c r="K51" i="385"/>
  <c r="R60" i="385"/>
  <c r="D24" i="415"/>
  <c r="C31" i="415"/>
  <c r="C51" i="415"/>
  <c r="D11" i="385"/>
  <c r="I16" i="385"/>
  <c r="P25" i="385"/>
  <c r="P33" i="385"/>
  <c r="I36" i="385"/>
  <c r="I44" i="385"/>
  <c r="I52" i="385"/>
  <c r="P69" i="385"/>
  <c r="I7" i="385"/>
  <c r="I11" i="385"/>
  <c r="I15" i="385"/>
  <c r="I19" i="385"/>
  <c r="I23" i="385"/>
  <c r="D30" i="385"/>
  <c r="I31" i="385"/>
  <c r="D34" i="385"/>
  <c r="P36" i="385"/>
  <c r="I39" i="385"/>
  <c r="I43" i="385"/>
  <c r="D50" i="385"/>
  <c r="P52" i="385"/>
  <c r="I59" i="385"/>
  <c r="P68" i="385"/>
  <c r="P76" i="385"/>
  <c r="I87" i="385"/>
  <c r="I99" i="385"/>
  <c r="I111" i="385"/>
  <c r="I127" i="385"/>
  <c r="I139" i="385"/>
  <c r="I155" i="385"/>
  <c r="I171" i="385"/>
  <c r="I187" i="385"/>
  <c r="F10" i="385"/>
  <c r="G18" i="385"/>
  <c r="G22" i="385"/>
  <c r="G26" i="385"/>
  <c r="G30" i="385"/>
  <c r="L31" i="385"/>
  <c r="L35" i="385"/>
  <c r="G38" i="385"/>
  <c r="L39" i="385"/>
  <c r="G42" i="385"/>
  <c r="L43" i="385"/>
  <c r="G46" i="385"/>
  <c r="L47" i="385"/>
  <c r="G50" i="385"/>
  <c r="L51" i="385"/>
  <c r="C18" i="415"/>
  <c r="E18" i="415" s="1"/>
  <c r="D31" i="415"/>
  <c r="C38" i="415"/>
  <c r="E38" i="415" s="1"/>
  <c r="D51" i="415"/>
  <c r="P5" i="385"/>
  <c r="I12" i="385"/>
  <c r="D23" i="385"/>
  <c r="I32" i="385"/>
  <c r="D43" i="385"/>
  <c r="I48" i="385"/>
  <c r="P65" i="385"/>
  <c r="D6" i="385"/>
  <c r="P8" i="385"/>
  <c r="P12" i="385"/>
  <c r="D18" i="385"/>
  <c r="I27" i="385"/>
  <c r="I91" i="385"/>
  <c r="I107" i="385"/>
  <c r="I119" i="385"/>
  <c r="I135" i="385"/>
  <c r="I147" i="385"/>
  <c r="I159" i="385"/>
  <c r="K11" i="385"/>
  <c r="G6" i="385"/>
  <c r="H6" i="385" s="1"/>
  <c r="L7" i="385"/>
  <c r="G10" i="385"/>
  <c r="L11" i="385"/>
  <c r="L19" i="385"/>
  <c r="L23" i="385"/>
  <c r="L27" i="385"/>
  <c r="C5" i="415"/>
  <c r="E5" i="415" s="1"/>
  <c r="D18" i="415"/>
  <c r="C25" i="415"/>
  <c r="E25" i="415" s="1"/>
  <c r="I53" i="54"/>
  <c r="I52" i="54"/>
  <c r="S63" i="89" a="1"/>
  <c r="S225" i="89" a="1"/>
  <c r="Z28" i="2"/>
  <c r="AV28" i="2" s="1" a="1"/>
  <c r="S197" i="89" a="1"/>
  <c r="S8" i="89" a="1"/>
  <c r="S82" i="89" a="1"/>
  <c r="AV28" i="2" l="1"/>
  <c r="S225" i="89"/>
  <c r="S82" i="89"/>
  <c r="S197" i="89"/>
  <c r="S63" i="89"/>
  <c r="S8" i="89"/>
  <c r="J53" i="54"/>
  <c r="S54" i="385"/>
  <c r="R54" i="385"/>
  <c r="M36" i="385"/>
  <c r="E36" i="385" s="1"/>
  <c r="J36" i="385"/>
  <c r="H36" i="385"/>
  <c r="S78" i="385"/>
  <c r="R78" i="385"/>
  <c r="M53" i="385"/>
  <c r="E53" i="385" s="1"/>
  <c r="J53" i="385"/>
  <c r="H53" i="385"/>
  <c r="S8" i="385"/>
  <c r="R8" i="385"/>
  <c r="S66" i="385"/>
  <c r="R66" i="385"/>
  <c r="M25" i="385"/>
  <c r="E25" i="385" s="1"/>
  <c r="J25" i="385"/>
  <c r="H25" i="385"/>
  <c r="M6" i="385"/>
  <c r="E6" i="385" s="1"/>
  <c r="S12" i="385"/>
  <c r="R12" i="385"/>
  <c r="M32" i="385"/>
  <c r="E32" i="385" s="1"/>
  <c r="J32" i="385"/>
  <c r="H32" i="385"/>
  <c r="S50" i="385"/>
  <c r="R50" i="385"/>
  <c r="J6" i="385"/>
  <c r="S52" i="385"/>
  <c r="R52" i="385"/>
  <c r="S41" i="385"/>
  <c r="R41" i="385"/>
  <c r="S77" i="385"/>
  <c r="R77" i="385"/>
  <c r="M51" i="385"/>
  <c r="E51" i="385" s="1"/>
  <c r="J51" i="385"/>
  <c r="H51" i="385"/>
  <c r="S30" i="385"/>
  <c r="R30" i="385"/>
  <c r="S14" i="385"/>
  <c r="R14" i="385"/>
  <c r="S46" i="385"/>
  <c r="R46" i="385"/>
  <c r="S42" i="385"/>
  <c r="R42" i="385"/>
  <c r="M49" i="385"/>
  <c r="E49" i="385" s="1"/>
  <c r="J49" i="385"/>
  <c r="H49" i="385"/>
  <c r="E51" i="415"/>
  <c r="E31" i="415"/>
  <c r="S36" i="385"/>
  <c r="R36" i="385"/>
  <c r="S40" i="385"/>
  <c r="R40" i="385"/>
  <c r="S56" i="385"/>
  <c r="R56" i="385"/>
  <c r="M27" i="385"/>
  <c r="E27" i="385" s="1"/>
  <c r="J27" i="385"/>
  <c r="H27" i="385"/>
  <c r="E22" i="415"/>
  <c r="S6" i="385"/>
  <c r="R6" i="385"/>
  <c r="M28" i="385"/>
  <c r="E28" i="385" s="1"/>
  <c r="J28" i="385"/>
  <c r="H28" i="385"/>
  <c r="M21" i="385"/>
  <c r="E21" i="385" s="1"/>
  <c r="J21" i="385"/>
  <c r="H21" i="385"/>
  <c r="H22" i="385"/>
  <c r="J22" i="385"/>
  <c r="M22" i="385"/>
  <c r="E22" i="385" s="1"/>
  <c r="H18" i="385"/>
  <c r="J18" i="385"/>
  <c r="M18" i="385"/>
  <c r="E18" i="385" s="1"/>
  <c r="H50" i="385"/>
  <c r="J50" i="385"/>
  <c r="M50" i="385"/>
  <c r="E50" i="385" s="1"/>
  <c r="S48" i="385"/>
  <c r="R48" i="385"/>
  <c r="M19" i="385"/>
  <c r="E19" i="385" s="1"/>
  <c r="J19" i="385"/>
  <c r="H19" i="385"/>
  <c r="M47" i="385"/>
  <c r="E47" i="385" s="1"/>
  <c r="J47" i="385"/>
  <c r="H47" i="385"/>
  <c r="S53" i="385"/>
  <c r="R53" i="385"/>
  <c r="S26" i="385"/>
  <c r="R26" i="385"/>
  <c r="H30" i="385"/>
  <c r="J30" i="385"/>
  <c r="M30" i="385"/>
  <c r="E30" i="385" s="1"/>
  <c r="J52" i="54"/>
  <c r="I54" i="54"/>
  <c r="S44" i="385"/>
  <c r="R44" i="385"/>
  <c r="H14" i="385"/>
  <c r="J14" i="385"/>
  <c r="M14" i="385"/>
  <c r="E14" i="385" s="1"/>
  <c r="S32" i="385"/>
  <c r="R32" i="385"/>
  <c r="S37" i="385"/>
  <c r="R37" i="385"/>
  <c r="M11" i="385"/>
  <c r="E11" i="385" s="1"/>
  <c r="J11" i="385"/>
  <c r="H11" i="385"/>
  <c r="E41" i="415"/>
  <c r="M24" i="385"/>
  <c r="E24" i="385" s="1"/>
  <c r="J24" i="385"/>
  <c r="H24" i="385"/>
  <c r="S38" i="385"/>
  <c r="R38" i="385"/>
  <c r="M45" i="385"/>
  <c r="E45" i="385" s="1"/>
  <c r="J45" i="385"/>
  <c r="H45" i="385"/>
  <c r="S65" i="385"/>
  <c r="R65" i="385"/>
  <c r="H10" i="385"/>
  <c r="J10" i="385"/>
  <c r="M10" i="385"/>
  <c r="E10" i="385" s="1"/>
  <c r="H46" i="385"/>
  <c r="M46" i="385"/>
  <c r="E46" i="385" s="1"/>
  <c r="J46" i="385"/>
  <c r="S28" i="385"/>
  <c r="R28" i="385"/>
  <c r="M23" i="385"/>
  <c r="E23" i="385" s="1"/>
  <c r="J23" i="385"/>
  <c r="H23" i="385"/>
  <c r="M43" i="385"/>
  <c r="E43" i="385" s="1"/>
  <c r="J43" i="385"/>
  <c r="H43" i="385"/>
  <c r="E48" i="415"/>
  <c r="S34" i="385"/>
  <c r="R34" i="385"/>
  <c r="M17" i="385"/>
  <c r="E17" i="385" s="1"/>
  <c r="J17" i="385"/>
  <c r="H17" i="385"/>
  <c r="S5" i="385"/>
  <c r="R5" i="385"/>
  <c r="R9" i="385"/>
  <c r="S9" i="385"/>
  <c r="M16" i="385"/>
  <c r="E16" i="385" s="1"/>
  <c r="J16" i="385"/>
  <c r="H16" i="385"/>
  <c r="E21" i="415"/>
  <c r="E46" i="415"/>
  <c r="H42" i="385"/>
  <c r="M42" i="385"/>
  <c r="E42" i="385" s="1"/>
  <c r="J42" i="385"/>
  <c r="S29" i="385"/>
  <c r="R29" i="385"/>
  <c r="M39" i="385"/>
  <c r="E39" i="385" s="1"/>
  <c r="J39" i="385"/>
  <c r="H39" i="385"/>
  <c r="S73" i="385"/>
  <c r="R73" i="385"/>
  <c r="E28" i="415"/>
  <c r="M8" i="385"/>
  <c r="E8" i="385" s="1"/>
  <c r="J8" i="385"/>
  <c r="H8" i="385"/>
  <c r="M20" i="385"/>
  <c r="E20" i="385" s="1"/>
  <c r="J20" i="385"/>
  <c r="H20" i="385"/>
  <c r="R10" i="385"/>
  <c r="S10" i="385"/>
  <c r="M41" i="385"/>
  <c r="E41" i="385" s="1"/>
  <c r="J41" i="385"/>
  <c r="H41" i="385"/>
  <c r="S13" i="385"/>
  <c r="R13" i="385"/>
  <c r="M15" i="385"/>
  <c r="E15" i="385" s="1"/>
  <c r="J15" i="385"/>
  <c r="H15" i="385"/>
  <c r="E49" i="415"/>
  <c r="E40" i="415"/>
  <c r="M13" i="385"/>
  <c r="E13" i="385" s="1"/>
  <c r="J13" i="385"/>
  <c r="H13" i="385"/>
  <c r="H38" i="385"/>
  <c r="M38" i="385"/>
  <c r="E38" i="385" s="1"/>
  <c r="J38" i="385"/>
  <c r="E50" i="415"/>
  <c r="E23" i="415"/>
  <c r="M35" i="385"/>
  <c r="E35" i="385" s="1"/>
  <c r="J35" i="385"/>
  <c r="H35" i="385"/>
  <c r="E29" i="415"/>
  <c r="S45" i="385"/>
  <c r="R45" i="385"/>
  <c r="E8" i="415"/>
  <c r="E54" i="415"/>
  <c r="M52" i="385"/>
  <c r="E52" i="385" s="1"/>
  <c r="J52" i="385"/>
  <c r="H52" i="385"/>
  <c r="M12" i="385"/>
  <c r="E12" i="385" s="1"/>
  <c r="J12" i="385"/>
  <c r="H12" i="385"/>
  <c r="M37" i="385"/>
  <c r="E37" i="385" s="1"/>
  <c r="J37" i="385"/>
  <c r="H37" i="385"/>
  <c r="H34" i="385"/>
  <c r="J34" i="385"/>
  <c r="M34" i="385"/>
  <c r="E34" i="385" s="1"/>
  <c r="S49" i="385"/>
  <c r="R49" i="385"/>
  <c r="M31" i="385"/>
  <c r="E31" i="385" s="1"/>
  <c r="J31" i="385"/>
  <c r="H31" i="385"/>
  <c r="E9" i="415"/>
  <c r="E34" i="415"/>
  <c r="M9" i="385"/>
  <c r="E9" i="385" s="1"/>
  <c r="J9" i="385"/>
  <c r="H9" i="385"/>
  <c r="M48" i="385"/>
  <c r="E48" i="385" s="1"/>
  <c r="J48" i="385"/>
  <c r="H48" i="385"/>
  <c r="E47" i="415"/>
  <c r="E53" i="415"/>
  <c r="M33" i="385"/>
  <c r="E33" i="385" s="1"/>
  <c r="J33" i="385"/>
  <c r="H33" i="385"/>
  <c r="S76" i="385"/>
  <c r="R76" i="385"/>
  <c r="S33" i="385"/>
  <c r="R33" i="385"/>
  <c r="S72" i="385"/>
  <c r="R72" i="385"/>
  <c r="M44" i="385"/>
  <c r="E44" i="385" s="1"/>
  <c r="J44" i="385"/>
  <c r="H44" i="385"/>
  <c r="E27" i="415"/>
  <c r="E33" i="415"/>
  <c r="M5" i="385"/>
  <c r="E5" i="385" s="1"/>
  <c r="J5" i="385"/>
  <c r="H5" i="385"/>
  <c r="S68" i="385"/>
  <c r="R68" i="385"/>
  <c r="S25" i="385"/>
  <c r="R25" i="385"/>
  <c r="H26" i="385"/>
  <c r="J26" i="385"/>
  <c r="M26" i="385"/>
  <c r="E26" i="385" s="1"/>
  <c r="E36" i="415"/>
  <c r="S70" i="385"/>
  <c r="R70" i="385"/>
  <c r="S69" i="385"/>
  <c r="R69" i="385"/>
  <c r="S64" i="385"/>
  <c r="R64" i="385"/>
  <c r="M7" i="385"/>
  <c r="E7" i="385" s="1"/>
  <c r="J7" i="385"/>
  <c r="H7" i="385"/>
  <c r="S74" i="385"/>
  <c r="R74" i="385"/>
  <c r="M40" i="385"/>
  <c r="E40" i="385" s="1"/>
  <c r="J40" i="385"/>
  <c r="H40" i="385"/>
  <c r="E7" i="415"/>
  <c r="M29" i="385"/>
  <c r="E29" i="385" s="1"/>
  <c r="J29" i="385"/>
  <c r="H29" i="385"/>
  <c r="E19" i="415"/>
  <c r="R82" i="89" a="1"/>
  <c r="R197" i="89" a="1"/>
  <c r="R63" i="89" a="1"/>
  <c r="R8" i="89" a="1"/>
  <c r="R225" i="89" a="1"/>
  <c r="W237" i="89" a="1"/>
  <c r="R225" i="89" l="1"/>
  <c r="R8" i="89"/>
  <c r="R63" i="89"/>
  <c r="R197" i="89"/>
  <c r="R82" i="89"/>
  <c r="J54" i="54"/>
  <c r="W237" i="89"/>
  <c r="L237" i="89" a="1"/>
  <c r="L237" i="89" l="1"/>
  <c r="K237" i="89" a="1"/>
  <c r="K237" i="89" l="1"/>
  <c r="M237" i="89" s="1"/>
  <c r="I237" i="89"/>
  <c r="AA237" i="89" a="1"/>
  <c r="F237" i="89" a="1"/>
  <c r="AA237" i="89" l="1"/>
  <c r="F237" i="89"/>
  <c r="P237" i="89" l="1"/>
  <c r="Q237" i="89" s="1"/>
  <c r="AE236" i="89"/>
  <c r="S237" i="89" a="1"/>
  <c r="S237" i="89" l="1"/>
  <c r="R237" i="89" a="1"/>
  <c r="R237" i="89" l="1"/>
  <c r="AC237" i="89"/>
  <c r="Y237" i="89"/>
  <c r="U237" i="89"/>
  <c r="J237" i="89"/>
  <c r="D237" i="89" l="1"/>
  <c r="A237" i="89"/>
  <c r="W236" i="89" a="1"/>
  <c r="W236" i="89" l="1"/>
  <c r="L236" i="89" a="1"/>
  <c r="L236" i="89" l="1"/>
  <c r="K236" i="89" a="1"/>
  <c r="K236" i="89" l="1"/>
  <c r="M236" i="89" s="1"/>
  <c r="I236" i="89"/>
  <c r="AA236" i="89" a="1"/>
  <c r="F236" i="89" a="1"/>
  <c r="AA236" i="89" l="1"/>
  <c r="F236" i="89"/>
  <c r="P236" i="89" l="1"/>
  <c r="Q236" i="89" s="1"/>
  <c r="AE235" i="89"/>
  <c r="AC236" i="89" l="1"/>
  <c r="Y236" i="89"/>
  <c r="U236" i="89"/>
  <c r="J236" i="89"/>
  <c r="A236" i="89" l="1"/>
  <c r="D236" i="89"/>
  <c r="W235" i="89" a="1"/>
  <c r="W235" i="89" l="1"/>
  <c r="L235" i="89" a="1"/>
  <c r="L235" i="89" l="1"/>
  <c r="K235" i="89" a="1"/>
  <c r="K235" i="89" l="1"/>
  <c r="M235" i="89" s="1"/>
  <c r="I235" i="89"/>
  <c r="AA235" i="89" a="1"/>
  <c r="F235" i="89" a="1"/>
  <c r="AA235" i="89" l="1"/>
  <c r="F235" i="89"/>
  <c r="P235" i="89" l="1"/>
  <c r="Q235" i="89" s="1"/>
  <c r="AE234" i="89"/>
  <c r="S235" i="89" a="1"/>
  <c r="S235" i="89" l="1"/>
  <c r="R235" i="89" a="1"/>
  <c r="R235" i="89" l="1"/>
  <c r="AC235" i="89"/>
  <c r="Y235" i="89"/>
  <c r="U235" i="89"/>
  <c r="J235" i="89"/>
  <c r="D235" i="89" l="1"/>
  <c r="A235" i="89"/>
  <c r="W234" i="89" a="1"/>
  <c r="W234" i="89" l="1"/>
  <c r="L234" i="89" a="1"/>
  <c r="L234" i="89" l="1"/>
  <c r="K234" i="89" a="1"/>
  <c r="K234" i="89" l="1"/>
  <c r="M234" i="89" s="1"/>
  <c r="I234" i="89"/>
  <c r="AA234" i="89" a="1"/>
  <c r="F234" i="89" a="1"/>
  <c r="AA234" i="89" l="1"/>
  <c r="F234" i="89"/>
  <c r="P234" i="89" l="1"/>
  <c r="Q234" i="89" s="1"/>
  <c r="AE233" i="89"/>
  <c r="AC234" i="89" l="1"/>
  <c r="Y234" i="89"/>
  <c r="U234" i="89"/>
  <c r="J234" i="89"/>
  <c r="A234" i="89" l="1"/>
  <c r="D234" i="89"/>
  <c r="W233" i="89" a="1"/>
  <c r="W233" i="89" l="1"/>
  <c r="L233" i="89" a="1"/>
  <c r="L233" i="89" l="1"/>
  <c r="K233" i="89" a="1"/>
  <c r="K233" i="89" l="1"/>
  <c r="K239" i="89" s="1"/>
  <c r="I233" i="89"/>
  <c r="AA233" i="89" a="1"/>
  <c r="F233" i="89" a="1"/>
  <c r="AA233" i="89" l="1"/>
  <c r="M233" i="89"/>
  <c r="F233" i="89"/>
  <c r="I239" i="89"/>
  <c r="P233" i="89" l="1"/>
  <c r="Q233" i="89" s="1"/>
  <c r="S233" i="89" a="1"/>
  <c r="S233" i="89" l="1"/>
  <c r="R233" i="89" a="1"/>
  <c r="R233" i="89" l="1"/>
  <c r="AC233" i="89"/>
  <c r="Y233" i="89"/>
  <c r="U233" i="89"/>
  <c r="J233" i="89"/>
  <c r="D233" i="89" l="1"/>
  <c r="A233" i="89"/>
  <c r="W225" i="89" a="1"/>
  <c r="W225" i="89" l="1"/>
  <c r="L225" i="89" a="1"/>
  <c r="L225" i="89" l="1"/>
  <c r="K225" i="89" a="1"/>
  <c r="K225" i="89" l="1"/>
  <c r="M225" i="89" s="1"/>
  <c r="I225" i="89"/>
  <c r="AA225" i="89" a="1"/>
  <c r="F225" i="89" a="1"/>
  <c r="AA225" i="89" l="1"/>
  <c r="F225" i="89"/>
  <c r="U225" i="89" l="1"/>
  <c r="J225" i="89"/>
  <c r="W224" i="89" a="1"/>
  <c r="W224" i="89" l="1"/>
  <c r="L224" i="89" a="1"/>
  <c r="L224" i="89" l="1"/>
  <c r="K224" i="89" a="1"/>
  <c r="K224" i="89" l="1"/>
  <c r="M224" i="89" s="1"/>
  <c r="H224" i="89"/>
  <c r="F224" i="89" a="1"/>
  <c r="I224" i="89" l="1"/>
  <c r="F224" i="89"/>
  <c r="H225" i="89"/>
  <c r="AA224" i="89" a="1"/>
  <c r="AA224" i="89" l="1"/>
  <c r="I229" i="89"/>
  <c r="P225" i="89"/>
  <c r="Q225" i="89" s="1"/>
  <c r="AC225" i="89"/>
  <c r="Y225" i="89"/>
  <c r="P224" i="89" l="1"/>
  <c r="Q224" i="89" s="1"/>
  <c r="S224" i="89" a="1"/>
  <c r="S224" i="89" l="1"/>
  <c r="R224" i="89" a="1"/>
  <c r="R224" i="89" l="1"/>
  <c r="AC224" i="89"/>
  <c r="Y224" i="89"/>
  <c r="U224" i="89"/>
  <c r="J224" i="89"/>
  <c r="W223" i="89" a="1"/>
  <c r="W223" i="89" l="1"/>
  <c r="L223" i="89" a="1"/>
  <c r="L223" i="89" l="1"/>
  <c r="K223" i="89" a="1"/>
  <c r="K223" i="89" l="1"/>
  <c r="M223" i="89" s="1"/>
  <c r="K226" i="89"/>
  <c r="I223" i="89"/>
  <c r="AA223" i="89" a="1"/>
  <c r="F223" i="89" a="1"/>
  <c r="AA223" i="89" l="1"/>
  <c r="F223" i="89"/>
  <c r="P223" i="89" l="1"/>
  <c r="Q223" i="89" l="1"/>
  <c r="AC223" i="89" l="1"/>
  <c r="Y223" i="89"/>
  <c r="U223" i="89"/>
  <c r="J223" i="89"/>
  <c r="W222" i="89" a="1"/>
  <c r="W222" i="89" l="1"/>
  <c r="L222" i="89" a="1"/>
  <c r="L222" i="89" l="1"/>
  <c r="K222" i="89" a="1"/>
  <c r="K222" i="89" l="1"/>
  <c r="K227" i="89" s="1"/>
  <c r="H222" i="89"/>
  <c r="F222" i="89" a="1"/>
  <c r="I222" i="89" l="1"/>
  <c r="F222" i="89"/>
  <c r="M222" i="89"/>
  <c r="AA222" i="89" a="1"/>
  <c r="AA222" i="89" l="1"/>
  <c r="I226" i="89"/>
  <c r="M229" i="89" s="1"/>
  <c r="I228" i="89"/>
  <c r="I230" i="89" s="1"/>
  <c r="K228" i="89"/>
  <c r="P222" i="89"/>
  <c r="P226" i="89" l="1"/>
  <c r="Q226" i="89" s="1"/>
  <c r="Q222" i="89"/>
  <c r="W221" i="89"/>
  <c r="J221" i="89"/>
  <c r="I221" i="89"/>
  <c r="S222" i="89" a="1"/>
  <c r="S222" i="89" l="1"/>
  <c r="R222" i="89" a="1"/>
  <c r="R222" i="89" l="1"/>
  <c r="AC222" i="89"/>
  <c r="Y222" i="89"/>
  <c r="U222" i="89"/>
  <c r="J222" i="89"/>
  <c r="Y227" i="89" l="1"/>
  <c r="W213" i="89" a="1"/>
  <c r="W213" i="89" l="1"/>
  <c r="L213" i="89" a="1"/>
  <c r="L213" i="89" l="1"/>
  <c r="K213" i="89" a="1"/>
  <c r="K213" i="89" l="1"/>
  <c r="M213" i="89" s="1"/>
  <c r="I213" i="89"/>
  <c r="AA213" i="89" a="1"/>
  <c r="F213" i="89" a="1"/>
  <c r="AA213" i="89" l="1"/>
  <c r="F213" i="89"/>
  <c r="I218" i="89"/>
  <c r="P213" i="89" l="1"/>
  <c r="Q213" i="89" s="1"/>
  <c r="AC213" i="89" l="1"/>
  <c r="Y213" i="89"/>
  <c r="U213" i="89"/>
  <c r="J213" i="89"/>
  <c r="W212" i="89" a="1"/>
  <c r="W212" i="89" l="1"/>
  <c r="L212" i="89" a="1"/>
  <c r="L212" i="89" l="1"/>
  <c r="K212" i="89" a="1"/>
  <c r="K212" i="89" l="1"/>
  <c r="M212" i="89" s="1"/>
  <c r="K215" i="89"/>
  <c r="F212" i="89" a="1"/>
  <c r="I212" i="89" l="1"/>
  <c r="F212" i="89"/>
  <c r="AA212" i="89" a="1"/>
  <c r="AA212" i="89" l="1"/>
  <c r="P212" i="89"/>
  <c r="S212" i="89" a="1"/>
  <c r="S212" i="89" l="1"/>
  <c r="Q212" i="89"/>
  <c r="R212" i="89" a="1"/>
  <c r="R212" i="89" l="1"/>
  <c r="AC212" i="89"/>
  <c r="Y212" i="89"/>
  <c r="U212" i="89"/>
  <c r="J212" i="89"/>
  <c r="W211" i="89" a="1"/>
  <c r="W211" i="89" l="1"/>
  <c r="L211" i="89" a="1"/>
  <c r="L211" i="89" l="1"/>
  <c r="K211" i="89" a="1"/>
  <c r="K211" i="89" l="1"/>
  <c r="K216" i="89" s="1"/>
  <c r="I211" i="89"/>
  <c r="H211" i="89"/>
  <c r="AA211" i="89" a="1"/>
  <c r="F211" i="89" a="1"/>
  <c r="AA211" i="89" l="1"/>
  <c r="M211" i="89"/>
  <c r="F211" i="89"/>
  <c r="K217" i="89"/>
  <c r="I215" i="89"/>
  <c r="M218" i="89" s="1"/>
  <c r="I217" i="89"/>
  <c r="I219" i="89" s="1"/>
  <c r="W210" i="89" l="1"/>
  <c r="I210" i="89"/>
  <c r="S211" i="89" a="1"/>
  <c r="P211" i="89" l="1"/>
  <c r="P215" i="89" s="1"/>
  <c r="S211" i="89"/>
  <c r="R211" i="89" a="1"/>
  <c r="R211" i="89" l="1"/>
  <c r="Q211" i="89"/>
  <c r="Q215" i="89"/>
  <c r="C217" i="89"/>
  <c r="C218" i="89" s="1"/>
  <c r="AC211" i="89"/>
  <c r="Y211" i="89"/>
  <c r="U211" i="89"/>
  <c r="J211" i="89"/>
  <c r="Y216" i="89" l="1"/>
  <c r="M205" i="89" l="1"/>
  <c r="H205" i="89"/>
  <c r="I205" i="89" l="1"/>
  <c r="AE205" i="89"/>
  <c r="AA205" i="89" a="1"/>
  <c r="AA205" i="89" l="1"/>
  <c r="P205" i="89"/>
  <c r="Q205" i="89" s="1"/>
  <c r="AE204" i="89" l="1"/>
  <c r="AC205" i="89" l="1"/>
  <c r="Y205" i="89"/>
  <c r="U205" i="89"/>
  <c r="J205" i="89"/>
  <c r="M204" i="89" l="1"/>
  <c r="K206" i="89"/>
  <c r="I204" i="89"/>
  <c r="AA204" i="89" a="1"/>
  <c r="AA204" i="89" l="1"/>
  <c r="P204" i="89"/>
  <c r="Q204" i="89" l="1"/>
  <c r="S204" i="89"/>
  <c r="R204" i="89" s="1" a="1"/>
  <c r="R204" i="89" l="1"/>
  <c r="AC204" i="89"/>
  <c r="Y204" i="89"/>
  <c r="U204" i="89"/>
  <c r="J204" i="89"/>
  <c r="K207" i="89" l="1"/>
  <c r="I208" i="89" l="1"/>
  <c r="I206" i="89" l="1"/>
  <c r="P206" i="89" l="1"/>
  <c r="Q206" i="89" s="1"/>
  <c r="Q202" i="89"/>
  <c r="I202" i="89"/>
  <c r="Y207" i="89" l="1"/>
  <c r="W197" i="89" a="1"/>
  <c r="W197" i="89" l="1"/>
  <c r="L197" i="89" a="1"/>
  <c r="L197" i="89" l="1"/>
  <c r="K197" i="89" a="1"/>
  <c r="K197" i="89" l="1"/>
  <c r="M197" i="89" s="1"/>
  <c r="H197" i="89"/>
  <c r="F197" i="89" a="1"/>
  <c r="I197" i="89" l="1"/>
  <c r="F197" i="89"/>
  <c r="AE197" i="89"/>
  <c r="AA197" i="89" a="1"/>
  <c r="AA197" i="89" l="1"/>
  <c r="P197" i="89"/>
  <c r="Q197" i="89" s="1"/>
  <c r="AE196" i="89" l="1"/>
  <c r="AC197" i="89" l="1"/>
  <c r="Y197" i="89"/>
  <c r="U197" i="89"/>
  <c r="J197" i="89"/>
  <c r="W196" i="89" a="1"/>
  <c r="W196" i="89" l="1"/>
  <c r="L196" i="89" a="1"/>
  <c r="L196" i="89" l="1"/>
  <c r="K196" i="89" a="1"/>
  <c r="K196" i="89" l="1"/>
  <c r="M196" i="89" s="1"/>
  <c r="K198" i="89"/>
  <c r="I196" i="89"/>
  <c r="AA196" i="89" a="1"/>
  <c r="F196" i="89" a="1"/>
  <c r="AA196" i="89" l="1"/>
  <c r="F196" i="89"/>
  <c r="P196" i="89" l="1"/>
  <c r="Q196" i="89" l="1"/>
  <c r="S196" i="89"/>
  <c r="R196" i="89" s="1" a="1"/>
  <c r="R196" i="89" l="1"/>
  <c r="AC196" i="89"/>
  <c r="Y196" i="89"/>
  <c r="U196" i="89"/>
  <c r="J196" i="89"/>
  <c r="W195" i="89" a="1"/>
  <c r="W195" i="89" l="1"/>
  <c r="L195" i="89" a="1"/>
  <c r="L195" i="89" l="1"/>
  <c r="K195" i="89" a="1"/>
  <c r="K195" i="89" l="1"/>
  <c r="K199" i="89" s="1"/>
  <c r="H195" i="89"/>
  <c r="F195" i="89" a="1"/>
  <c r="I195" i="89" l="1"/>
  <c r="M195" i="89"/>
  <c r="F195" i="89"/>
  <c r="AE195" i="89"/>
  <c r="AA195" i="89" a="1"/>
  <c r="AA195" i="89" l="1"/>
  <c r="I200" i="89"/>
  <c r="I198" i="89"/>
  <c r="P195" i="89"/>
  <c r="P198" i="89" l="1"/>
  <c r="Q198" i="89" s="1"/>
  <c r="Q195" i="89"/>
  <c r="Q194" i="89" s="1"/>
  <c r="I194" i="89"/>
  <c r="Q193" i="89"/>
  <c r="I193" i="89"/>
  <c r="S195" i="89" a="1"/>
  <c r="S195" i="89" l="1"/>
  <c r="R195" i="89" a="1"/>
  <c r="R195" i="89" l="1"/>
  <c r="AC195" i="89"/>
  <c r="Y195" i="89"/>
  <c r="U195" i="89"/>
  <c r="J195" i="89"/>
  <c r="Y199" i="89" l="1"/>
  <c r="W188" i="89" a="1"/>
  <c r="W188" i="89" l="1"/>
  <c r="L188" i="89" a="1"/>
  <c r="L188" i="89" l="1"/>
  <c r="K188" i="89" a="1"/>
  <c r="K188" i="89" l="1"/>
  <c r="M188" i="89" s="1"/>
  <c r="I188" i="89"/>
  <c r="H188" i="89"/>
  <c r="AA188" i="89" a="1"/>
  <c r="F188" i="89" a="1"/>
  <c r="AA188" i="89" l="1"/>
  <c r="F188" i="89"/>
  <c r="AE188" i="89"/>
  <c r="D188" i="89" l="1"/>
  <c r="P188" i="89" l="1"/>
  <c r="Q188" i="89" s="1"/>
  <c r="AE187" i="89"/>
  <c r="S188" i="89" a="1"/>
  <c r="S188" i="89" l="1"/>
  <c r="R188" i="89" a="1"/>
  <c r="R188" i="89" l="1"/>
  <c r="AC188" i="89"/>
  <c r="Y188" i="89"/>
  <c r="U188" i="89"/>
  <c r="J188" i="89"/>
  <c r="W187" i="89" a="1"/>
  <c r="W187" i="89" l="1"/>
  <c r="L187" i="89" a="1"/>
  <c r="L187" i="89" l="1"/>
  <c r="K187" i="89" a="1"/>
  <c r="K187" i="89" l="1"/>
  <c r="M187" i="89" s="1"/>
  <c r="K189" i="89"/>
  <c r="F187" i="89" a="1"/>
  <c r="I187" i="89" l="1"/>
  <c r="F187" i="89"/>
  <c r="AA187" i="89" a="1"/>
  <c r="AA187" i="89" l="1"/>
  <c r="D187" i="89"/>
  <c r="P187" i="89" l="1"/>
  <c r="S187" i="89" a="1"/>
  <c r="S187" i="89" l="1"/>
  <c r="Q187" i="89"/>
  <c r="R187" i="89" a="1"/>
  <c r="R187" i="89" l="1"/>
  <c r="AC187" i="89"/>
  <c r="Y187" i="89"/>
  <c r="U187" i="89"/>
  <c r="J187" i="89"/>
  <c r="W186" i="89" a="1"/>
  <c r="W186" i="89" l="1"/>
  <c r="L186" i="89" a="1"/>
  <c r="L186" i="89" l="1"/>
  <c r="K186" i="89" a="1"/>
  <c r="K186" i="89" l="1"/>
  <c r="K190" i="89" s="1"/>
  <c r="I186" i="89"/>
  <c r="H186" i="89"/>
  <c r="AA186" i="89" a="1"/>
  <c r="F186" i="89" a="1"/>
  <c r="AA186" i="89" l="1"/>
  <c r="M186" i="89"/>
  <c r="F186" i="89"/>
  <c r="I191" i="89"/>
  <c r="I189" i="89"/>
  <c r="AE186" i="89"/>
  <c r="D186" i="89" l="1"/>
  <c r="P186" i="89" l="1"/>
  <c r="J185" i="89"/>
  <c r="I185" i="89"/>
  <c r="AE180" i="89"/>
  <c r="S186" i="89" a="1"/>
  <c r="K185" i="89" l="1"/>
  <c r="S186" i="89"/>
  <c r="P189" i="89"/>
  <c r="Q186" i="89"/>
  <c r="Q185" i="89" s="1"/>
  <c r="R186" i="89" a="1"/>
  <c r="R186" i="89" l="1"/>
  <c r="Q189" i="89"/>
  <c r="B191" i="89"/>
  <c r="AC186" i="89"/>
  <c r="Y186" i="89"/>
  <c r="U186" i="89"/>
  <c r="J186" i="89"/>
  <c r="Y190" i="89" l="1"/>
  <c r="W180" i="89" a="1"/>
  <c r="W180" i="89" l="1"/>
  <c r="L180" i="89" a="1"/>
  <c r="L180" i="89" l="1"/>
  <c r="K180" i="89" a="1"/>
  <c r="K180" i="89" l="1"/>
  <c r="M180" i="89" s="1"/>
  <c r="I180" i="89"/>
  <c r="AA180" i="89" a="1"/>
  <c r="F180" i="89" a="1"/>
  <c r="AA180" i="89" l="1"/>
  <c r="F180" i="89"/>
  <c r="D180" i="89" l="1"/>
  <c r="P180" i="89" l="1"/>
  <c r="Q180" i="89" s="1"/>
  <c r="AE179" i="89"/>
  <c r="S180" i="89" a="1"/>
  <c r="S180" i="89" l="1"/>
  <c r="R180" i="89" a="1"/>
  <c r="R180" i="89" l="1"/>
  <c r="AC180" i="89"/>
  <c r="Y180" i="89"/>
  <c r="U180" i="89"/>
  <c r="J180" i="89"/>
  <c r="W179" i="89" a="1"/>
  <c r="W179" i="89" l="1"/>
  <c r="L179" i="89" a="1"/>
  <c r="L179" i="89" l="1"/>
  <c r="K179" i="89" a="1"/>
  <c r="K179" i="89" l="1"/>
  <c r="K181" i="89"/>
  <c r="M179" i="89"/>
  <c r="I179" i="89"/>
  <c r="F179" i="89" a="1"/>
  <c r="F179" i="89" l="1"/>
  <c r="N179" i="89" a="1"/>
  <c r="N179" i="89" l="1"/>
  <c r="D179" i="89"/>
  <c r="P179" i="89" l="1"/>
  <c r="S179" i="89" a="1"/>
  <c r="AB179" i="89" a="1"/>
  <c r="AB179" i="89" l="1"/>
  <c r="S179" i="89"/>
  <c r="Q179" i="89"/>
  <c r="R179" i="89" a="1"/>
  <c r="R179" i="89" l="1"/>
  <c r="AC179" i="89"/>
  <c r="Y179" i="89"/>
  <c r="U179" i="89"/>
  <c r="J179" i="89"/>
  <c r="W178" i="89" a="1"/>
  <c r="W178" i="89" l="1"/>
  <c r="L178" i="89" a="1"/>
  <c r="L178" i="89" l="1"/>
  <c r="K178" i="89" a="1"/>
  <c r="K178" i="89" l="1"/>
  <c r="K182" i="89" s="1"/>
  <c r="M178" i="89"/>
  <c r="I178" i="89"/>
  <c r="H178" i="89"/>
  <c r="F178" i="89" a="1"/>
  <c r="F178" i="89" l="1"/>
  <c r="AE178" i="89"/>
  <c r="I183" i="89"/>
  <c r="I181" i="89"/>
  <c r="N178" i="89" a="1"/>
  <c r="N178" i="89" l="1"/>
  <c r="D178" i="89"/>
  <c r="P178" i="89" l="1"/>
  <c r="J177" i="89"/>
  <c r="I177" i="89"/>
  <c r="AE171" i="89"/>
  <c r="S178" i="89" a="1"/>
  <c r="AB178" i="89" a="1"/>
  <c r="K177" i="89" l="1"/>
  <c r="AB178" i="89"/>
  <c r="S178" i="89"/>
  <c r="P181" i="89"/>
  <c r="Q181" i="89" s="1"/>
  <c r="Q178" i="89"/>
  <c r="Q177" i="89" s="1"/>
  <c r="R178" i="89" a="1"/>
  <c r="R178" i="89" l="1"/>
  <c r="AC178" i="89"/>
  <c r="Y178" i="89"/>
  <c r="U178" i="89"/>
  <c r="J178" i="89"/>
  <c r="Y182" i="89" l="1"/>
  <c r="W171" i="89" a="1"/>
  <c r="W171" i="89" l="1"/>
  <c r="L171" i="89" a="1"/>
  <c r="L171" i="89" l="1"/>
  <c r="K171" i="89" a="1"/>
  <c r="K171" i="89" l="1"/>
  <c r="M171" i="89" s="1"/>
  <c r="I171" i="89"/>
  <c r="AA171" i="89" a="1"/>
  <c r="F171" i="89" a="1"/>
  <c r="AA171" i="89" l="1"/>
  <c r="F171" i="89"/>
  <c r="D171" i="89" l="1"/>
  <c r="P171" i="89" l="1"/>
  <c r="Q171" i="89" s="1"/>
  <c r="AE170" i="89"/>
  <c r="AC171" i="89" l="1"/>
  <c r="Y171" i="89"/>
  <c r="U171" i="89"/>
  <c r="J171" i="89"/>
  <c r="W170" i="89" a="1"/>
  <c r="W170" i="89" l="1"/>
  <c r="L170" i="89" a="1"/>
  <c r="L170" i="89" l="1"/>
  <c r="K170" i="89" a="1"/>
  <c r="K170" i="89" l="1"/>
  <c r="M170" i="89" s="1"/>
  <c r="K172" i="89"/>
  <c r="F170" i="89" a="1"/>
  <c r="I170" i="89" l="1"/>
  <c r="F170" i="89"/>
  <c r="AA170" i="89" a="1"/>
  <c r="AA170" i="89" l="1"/>
  <c r="I175" i="89"/>
  <c r="D170" i="89"/>
  <c r="P170" i="89" l="1"/>
  <c r="AE169" i="89"/>
  <c r="S170" i="89" a="1"/>
  <c r="S170" i="89" l="1"/>
  <c r="Q170" i="89"/>
  <c r="R170" i="89" a="1"/>
  <c r="R170" i="89" l="1"/>
  <c r="AC170" i="89"/>
  <c r="Y170" i="89"/>
  <c r="U170" i="89"/>
  <c r="J170" i="89"/>
  <c r="W169" i="89" a="1"/>
  <c r="W169" i="89" l="1"/>
  <c r="L169" i="89" a="1"/>
  <c r="L169" i="89" l="1"/>
  <c r="K169" i="89" a="1"/>
  <c r="K169" i="89" l="1"/>
  <c r="K173" i="89" s="1"/>
  <c r="I169" i="89"/>
  <c r="AA169" i="89" a="1"/>
  <c r="F169" i="89" a="1"/>
  <c r="AA169" i="89" l="1"/>
  <c r="M169" i="89"/>
  <c r="F169" i="89"/>
  <c r="I174" i="89"/>
  <c r="I172" i="89"/>
  <c r="D169" i="89" l="1"/>
  <c r="P169" i="89" l="1"/>
  <c r="I168" i="89"/>
  <c r="I167" i="89"/>
  <c r="AG160" i="89"/>
  <c r="S169" i="89" a="1"/>
  <c r="S169" i="89" l="1"/>
  <c r="P172" i="89"/>
  <c r="Q172" i="89" s="1"/>
  <c r="Q169" i="89"/>
  <c r="R169" i="89" a="1"/>
  <c r="R169" i="89" l="1"/>
  <c r="AC169" i="89"/>
  <c r="Y169" i="89"/>
  <c r="U169" i="89"/>
  <c r="J169" i="89"/>
  <c r="Y173" i="89" l="1"/>
  <c r="W160" i="89" a="1"/>
  <c r="W160" i="89" l="1"/>
  <c r="T162" i="89" l="1"/>
  <c r="L160" i="89" a="1"/>
  <c r="L160" i="89" l="1"/>
  <c r="K160" i="89" a="1"/>
  <c r="K160" i="89" l="1"/>
  <c r="L164" i="89"/>
  <c r="K162" i="89"/>
  <c r="M160" i="89"/>
  <c r="I160" i="89"/>
  <c r="I162" i="89" l="1"/>
  <c r="I163" i="89" s="1"/>
  <c r="P160" i="89"/>
  <c r="Q160" i="89" s="1"/>
  <c r="Q162" i="89" s="1"/>
  <c r="K163" i="89"/>
  <c r="K164" i="89"/>
  <c r="AG153" i="89" l="1"/>
  <c r="AC160" i="89" l="1"/>
  <c r="Y160" i="89"/>
  <c r="U160" i="89"/>
  <c r="J160" i="89"/>
  <c r="Y162" i="89" l="1"/>
  <c r="Y163" i="89" s="1"/>
  <c r="W153" i="89" a="1"/>
  <c r="W153" i="89" l="1"/>
  <c r="T155" i="89" l="1"/>
  <c r="L153" i="89" a="1"/>
  <c r="L153" i="89" l="1"/>
  <c r="K153" i="89" a="1"/>
  <c r="K153" i="89" l="1"/>
  <c r="M153" i="89" s="1"/>
  <c r="L157" i="89"/>
  <c r="L166" i="89" s="1"/>
  <c r="K155" i="89"/>
  <c r="F153" i="89" a="1"/>
  <c r="I153" i="89" l="1"/>
  <c r="F153" i="89"/>
  <c r="K157" i="89"/>
  <c r="K166" i="89" s="1"/>
  <c r="K156" i="89"/>
  <c r="AA153" i="89" a="1"/>
  <c r="AA153" i="89" l="1"/>
  <c r="I155" i="89"/>
  <c r="I156" i="89" s="1"/>
  <c r="P153" i="89"/>
  <c r="Q153" i="89" s="1"/>
  <c r="Q155" i="89" s="1"/>
  <c r="Q165" i="89" s="1"/>
  <c r="Z152" i="89" l="1"/>
  <c r="AC153" i="89" l="1"/>
  <c r="Y153" i="89"/>
  <c r="U153" i="89"/>
  <c r="J153" i="89"/>
  <c r="Y155" i="89" l="1"/>
  <c r="Y156" i="89" s="1"/>
  <c r="W145" i="89" a="1"/>
  <c r="W145" i="89" l="1"/>
  <c r="L145" i="89" a="1"/>
  <c r="L145" i="89" l="1"/>
  <c r="K145" i="89" a="1"/>
  <c r="K145" i="89" l="1"/>
  <c r="M145" i="89" s="1"/>
  <c r="I145" i="89"/>
  <c r="H145" i="89"/>
  <c r="F145" i="89" a="1"/>
  <c r="F145" i="89" l="1"/>
  <c r="AG145" i="89"/>
  <c r="N145" i="89"/>
  <c r="P145" i="89" l="1"/>
  <c r="Q145" i="89" s="1"/>
  <c r="AG144" i="89" l="1"/>
  <c r="AC145" i="89" l="1"/>
  <c r="Y145" i="89"/>
  <c r="U145" i="89"/>
  <c r="J145" i="89"/>
  <c r="W144" i="89" a="1"/>
  <c r="W144" i="89" l="1"/>
  <c r="T146" i="89" l="1"/>
  <c r="L144" i="89" a="1"/>
  <c r="L144" i="89" l="1"/>
  <c r="K144" i="89" a="1"/>
  <c r="K144" i="89" l="1"/>
  <c r="L148" i="89"/>
  <c r="K146" i="89"/>
  <c r="M144" i="89"/>
  <c r="I144" i="89"/>
  <c r="F144" i="89" a="1"/>
  <c r="F144" i="89" l="1"/>
  <c r="I146" i="89"/>
  <c r="I147" i="89" s="1"/>
  <c r="K148" i="89"/>
  <c r="K147" i="89"/>
  <c r="N144" i="89" a="1"/>
  <c r="N144" i="89" l="1"/>
  <c r="P144" i="89" l="1"/>
  <c r="Q144" i="89" s="1"/>
  <c r="Q146" i="89" s="1"/>
  <c r="S144" i="89" a="1"/>
  <c r="S144" i="89" l="1"/>
  <c r="AC144" i="89" l="1"/>
  <c r="Y144" i="89"/>
  <c r="U144" i="89"/>
  <c r="J144" i="89"/>
  <c r="Y147" i="89" l="1"/>
  <c r="W138" i="89" a="1"/>
  <c r="W138" i="89" l="1"/>
  <c r="L138" i="89" a="1"/>
  <c r="L138" i="89" l="1"/>
  <c r="K138" i="89" a="1"/>
  <c r="K138" i="89" l="1"/>
  <c r="M138" i="89"/>
  <c r="I138" i="89"/>
  <c r="H138" i="89"/>
  <c r="F138" i="89" a="1"/>
  <c r="F138" i="89" l="1"/>
  <c r="AG138" i="89"/>
  <c r="N138" i="89"/>
  <c r="P138" i="89" l="1"/>
  <c r="Q138" i="89" s="1"/>
  <c r="AG137" i="89" l="1"/>
  <c r="AC138" i="89" l="1"/>
  <c r="Y138" i="89"/>
  <c r="U138" i="89"/>
  <c r="J138" i="89"/>
  <c r="W137" i="89" a="1"/>
  <c r="W137" i="89" l="1"/>
  <c r="T139" i="89" l="1"/>
  <c r="L137" i="89" a="1"/>
  <c r="L137" i="89" l="1"/>
  <c r="K137" i="89" a="1"/>
  <c r="K137" i="89" l="1"/>
  <c r="K141" i="89" s="1"/>
  <c r="K149" i="89" s="1"/>
  <c r="L141" i="89"/>
  <c r="L149" i="89" s="1"/>
  <c r="K139" i="89"/>
  <c r="M137" i="89"/>
  <c r="I137" i="89"/>
  <c r="F137" i="89" a="1"/>
  <c r="F137" i="89" l="1"/>
  <c r="N137" i="89"/>
  <c r="P137" i="89" l="1"/>
  <c r="Q137" i="89" l="1"/>
  <c r="S137" i="89" a="1"/>
  <c r="S137" i="89" l="1"/>
  <c r="AC137" i="89" l="1"/>
  <c r="Y137" i="89"/>
  <c r="U137" i="89"/>
  <c r="J137" i="89"/>
  <c r="W136" i="89" a="1"/>
  <c r="W136" i="89" l="1"/>
  <c r="L136" i="89" a="1"/>
  <c r="L136" i="89" l="1"/>
  <c r="K136" i="89" a="1"/>
  <c r="K136" i="89" l="1"/>
  <c r="K140" i="89" s="1"/>
  <c r="M136" i="89"/>
  <c r="I136" i="89"/>
  <c r="H136" i="89"/>
  <c r="F136" i="89" a="1"/>
  <c r="F136" i="89" l="1"/>
  <c r="AG136" i="89"/>
  <c r="I139" i="89"/>
  <c r="I140" i="89" s="1"/>
  <c r="N136" i="89"/>
  <c r="P136" i="89" l="1"/>
  <c r="P139" i="89" l="1"/>
  <c r="Q139" i="89" s="1"/>
  <c r="Q148" i="89" s="1"/>
  <c r="Q136" i="89"/>
  <c r="K135" i="89" l="1"/>
  <c r="AG129" i="89"/>
  <c r="S136" i="89" a="1"/>
  <c r="S136" i="89" l="1"/>
  <c r="AC136" i="89" l="1"/>
  <c r="Y136" i="89"/>
  <c r="U136" i="89"/>
  <c r="J136" i="89"/>
  <c r="Y140" i="89" l="1"/>
  <c r="W129" i="89" a="1"/>
  <c r="W129" i="89" l="1"/>
  <c r="T131" i="89" l="1"/>
  <c r="L129" i="89" a="1"/>
  <c r="L129" i="89" l="1"/>
  <c r="K129" i="89" a="1"/>
  <c r="K129" i="89" l="1"/>
  <c r="K131" i="89"/>
  <c r="L133" i="89"/>
  <c r="M129" i="89"/>
  <c r="I129" i="89"/>
  <c r="F129" i="89" a="1"/>
  <c r="F129" i="89" l="1"/>
  <c r="I131" i="89"/>
  <c r="I132" i="89" s="1"/>
  <c r="K133" i="89"/>
  <c r="K132" i="89"/>
  <c r="N129" i="89"/>
  <c r="P129" i="89" l="1"/>
  <c r="Q129" i="89" s="1"/>
  <c r="Q131" i="89" s="1"/>
  <c r="D128" i="89" l="1"/>
  <c r="AC129" i="89" l="1"/>
  <c r="Y129" i="89"/>
  <c r="U129" i="89"/>
  <c r="J129" i="89"/>
  <c r="Y131" i="89" l="1"/>
  <c r="Y132" i="89" s="1"/>
  <c r="W123" i="89" a="1"/>
  <c r="W123" i="89" l="1"/>
  <c r="L123" i="89" a="1"/>
  <c r="L123" i="89" l="1"/>
  <c r="K123" i="89" a="1"/>
  <c r="K123" i="89" l="1"/>
  <c r="M123" i="89"/>
  <c r="I123" i="89"/>
  <c r="H123" i="89"/>
  <c r="F123" i="89" a="1"/>
  <c r="F123" i="89" l="1"/>
  <c r="AG123" i="89"/>
  <c r="N123" i="89"/>
  <c r="P123" i="89" l="1"/>
  <c r="Q123" i="89" s="1"/>
  <c r="AG122" i="89" l="1"/>
  <c r="AC123" i="89" l="1"/>
  <c r="Y123" i="89"/>
  <c r="U123" i="89"/>
  <c r="J123" i="89"/>
  <c r="W122" i="89" a="1"/>
  <c r="W122" i="89" l="1"/>
  <c r="T124" i="89" l="1"/>
  <c r="L122" i="89" a="1"/>
  <c r="L122" i="89" l="1"/>
  <c r="K122" i="89" a="1"/>
  <c r="K122" i="89" l="1"/>
  <c r="L126" i="89"/>
  <c r="K124" i="89"/>
  <c r="M122" i="89"/>
  <c r="I122" i="89"/>
  <c r="F122" i="89" a="1"/>
  <c r="F122" i="89" l="1"/>
  <c r="I124" i="89"/>
  <c r="I125" i="89" s="1"/>
  <c r="K126" i="89"/>
  <c r="K125" i="89"/>
  <c r="N122" i="89"/>
  <c r="P122" i="89" l="1"/>
  <c r="Q122" i="89" s="1"/>
  <c r="Q124" i="89" s="1"/>
  <c r="D121" i="89" l="1"/>
  <c r="I119" i="89"/>
  <c r="S122" i="89" a="1"/>
  <c r="S122" i="89" l="1"/>
  <c r="AC122" i="89" l="1"/>
  <c r="Y122" i="89"/>
  <c r="U122" i="89"/>
  <c r="J122" i="89"/>
  <c r="Y124" i="89" l="1"/>
  <c r="Y125" i="89" s="1"/>
  <c r="W116" i="89" a="1"/>
  <c r="W116" i="89" l="1"/>
  <c r="L116" i="89" a="1"/>
  <c r="L116" i="89" l="1"/>
  <c r="K116" i="89" a="1"/>
  <c r="K116" i="89" l="1"/>
  <c r="M116" i="89"/>
  <c r="I116" i="89"/>
  <c r="H116" i="89"/>
  <c r="F116" i="89" a="1"/>
  <c r="F116" i="89" l="1"/>
  <c r="AG116" i="89"/>
  <c r="N116" i="89"/>
  <c r="P116" i="89" l="1"/>
  <c r="Q116" i="89" s="1"/>
  <c r="AG115" i="89" l="1"/>
  <c r="AC116" i="89" l="1"/>
  <c r="Y116" i="89"/>
  <c r="U116" i="89"/>
  <c r="J116" i="89"/>
  <c r="W115" i="89" a="1"/>
  <c r="W115" i="89" l="1"/>
  <c r="T117" i="89" l="1"/>
  <c r="L115" i="89" a="1"/>
  <c r="L115" i="89" l="1"/>
  <c r="K115" i="89" a="1"/>
  <c r="K115" i="89" l="1"/>
  <c r="K118" i="89" s="1"/>
  <c r="K117" i="89"/>
  <c r="M115" i="89"/>
  <c r="I115" i="89"/>
  <c r="F115" i="89" a="1"/>
  <c r="F115" i="89" l="1"/>
  <c r="I117" i="89"/>
  <c r="I118" i="89" s="1"/>
  <c r="N115" i="89"/>
  <c r="P115" i="89" l="1"/>
  <c r="Q115" i="89" s="1"/>
  <c r="Q117" i="89" s="1"/>
  <c r="D114" i="89" l="1"/>
  <c r="S115" i="89" a="1"/>
  <c r="S115" i="89" l="1"/>
  <c r="AC115" i="89" l="1"/>
  <c r="Y115" i="89"/>
  <c r="U115" i="89"/>
  <c r="J115" i="89"/>
  <c r="Y117" i="89" l="1"/>
  <c r="Y118" i="89" s="1"/>
  <c r="W109" i="89" a="1"/>
  <c r="W109" i="89" l="1"/>
  <c r="L109" i="89" a="1"/>
  <c r="L109" i="89" l="1"/>
  <c r="K109" i="89" a="1"/>
  <c r="K109" i="89" l="1"/>
  <c r="M109" i="89" s="1"/>
  <c r="I109" i="89"/>
  <c r="H109" i="89"/>
  <c r="F109" i="89" a="1"/>
  <c r="F109" i="89" l="1"/>
  <c r="AG109" i="89"/>
  <c r="N109" i="89"/>
  <c r="P109" i="89" l="1"/>
  <c r="Q109" i="89" s="1"/>
  <c r="AG108" i="89" l="1"/>
  <c r="AC109" i="89" l="1"/>
  <c r="Y109" i="89"/>
  <c r="U109" i="89"/>
  <c r="J109" i="89"/>
  <c r="W108" i="89" a="1"/>
  <c r="W108" i="89" l="1"/>
  <c r="T110" i="89" l="1"/>
  <c r="L108" i="89" a="1"/>
  <c r="L108" i="89" l="1"/>
  <c r="K108" i="89" a="1"/>
  <c r="K108" i="89" l="1"/>
  <c r="K111" i="89" s="1"/>
  <c r="K110" i="89"/>
  <c r="M108" i="89"/>
  <c r="I108" i="89"/>
  <c r="F108" i="89" a="1"/>
  <c r="F108" i="89" l="1"/>
  <c r="I110" i="89"/>
  <c r="I111" i="89" s="1"/>
  <c r="N108" i="89"/>
  <c r="P108" i="89" l="1"/>
  <c r="Q108" i="89" s="1"/>
  <c r="Q110" i="89" s="1"/>
  <c r="D107" i="89" l="1"/>
  <c r="AC108" i="89" l="1"/>
  <c r="Y108" i="89"/>
  <c r="U108" i="89"/>
  <c r="J108" i="89"/>
  <c r="Y110" i="89" l="1"/>
  <c r="Y111" i="89" s="1"/>
  <c r="W102" i="89" a="1"/>
  <c r="W102" i="89" l="1"/>
  <c r="L102" i="89" a="1"/>
  <c r="L102" i="89" l="1"/>
  <c r="K102" i="89" a="1"/>
  <c r="K102" i="89" l="1"/>
  <c r="M102" i="89" s="1"/>
  <c r="H102" i="89"/>
  <c r="AG102" i="89" l="1"/>
  <c r="I102" i="89"/>
  <c r="P102" i="89" l="1"/>
  <c r="Q102" i="89" s="1"/>
  <c r="AG101" i="89" l="1"/>
  <c r="S102" i="89" a="1"/>
  <c r="S102" i="89" l="1"/>
  <c r="AC102" i="89" l="1"/>
  <c r="Y102" i="89"/>
  <c r="U102" i="89"/>
  <c r="J102" i="89"/>
  <c r="W101" i="89" a="1"/>
  <c r="W101" i="89" l="1"/>
  <c r="T103" i="89" l="1"/>
  <c r="L101" i="89" a="1"/>
  <c r="L101" i="89" l="1"/>
  <c r="K101" i="89" a="1"/>
  <c r="K101" i="89" l="1"/>
  <c r="L105" i="89"/>
  <c r="K103" i="89"/>
  <c r="M101" i="89"/>
  <c r="I101" i="89"/>
  <c r="I103" i="89" l="1"/>
  <c r="I104" i="89" s="1"/>
  <c r="P101" i="89"/>
  <c r="Q101" i="89" s="1"/>
  <c r="Q103" i="89" s="1"/>
  <c r="K105" i="89"/>
  <c r="K104" i="89"/>
  <c r="P100" i="89" l="1"/>
  <c r="I100" i="89"/>
  <c r="D100" i="89"/>
  <c r="AC101" i="89" l="1"/>
  <c r="Y101" i="89"/>
  <c r="U101" i="89"/>
  <c r="J101" i="89"/>
  <c r="Y103" i="89" l="1"/>
  <c r="Y104" i="89" s="1"/>
  <c r="W96" i="89" a="1"/>
  <c r="W96" i="89" l="1"/>
  <c r="L96" i="89" a="1"/>
  <c r="L96" i="89" l="1"/>
  <c r="K96" i="89" a="1"/>
  <c r="K96" i="89" l="1"/>
  <c r="M96" i="89" s="1"/>
  <c r="I96" i="89"/>
  <c r="H96" i="89"/>
  <c r="F96" i="89" a="1"/>
  <c r="F96" i="89" l="1"/>
  <c r="AG96" i="89"/>
  <c r="N96" i="89"/>
  <c r="P96" i="89" l="1"/>
  <c r="Q96" i="89" s="1"/>
  <c r="AG95" i="89" l="1"/>
  <c r="S96" i="89" a="1"/>
  <c r="S96" i="89" l="1"/>
  <c r="AC96" i="89" l="1"/>
  <c r="Y96" i="89"/>
  <c r="U96" i="89"/>
  <c r="J96" i="89"/>
  <c r="W95" i="89" a="1"/>
  <c r="W95" i="89" l="1"/>
  <c r="T97" i="89" l="1"/>
  <c r="L95" i="89" a="1"/>
  <c r="L95" i="89" l="1"/>
  <c r="K95" i="89" a="1"/>
  <c r="K95" i="89" l="1"/>
  <c r="L99" i="89"/>
  <c r="L106" i="89" s="1"/>
  <c r="K97" i="89"/>
  <c r="M95" i="89"/>
  <c r="I95" i="89"/>
  <c r="I97" i="89" l="1"/>
  <c r="I98" i="89" s="1"/>
  <c r="P95" i="89"/>
  <c r="Q95" i="89" s="1"/>
  <c r="Q97" i="89" s="1"/>
  <c r="K99" i="89"/>
  <c r="K106" i="89" s="1"/>
  <c r="K98" i="89"/>
  <c r="P94" i="89" l="1"/>
  <c r="K94" i="89"/>
  <c r="I94" i="89"/>
  <c r="I99" i="89" s="1"/>
  <c r="D94" i="89"/>
  <c r="Q93" i="89"/>
  <c r="L93" i="89"/>
  <c r="S95" i="89" a="1"/>
  <c r="S95" i="89" l="1"/>
  <c r="AC95" i="89" l="1"/>
  <c r="Y95" i="89"/>
  <c r="U95" i="89"/>
  <c r="J95" i="89"/>
  <c r="Y97" i="89" l="1"/>
  <c r="Y98" i="89" s="1"/>
  <c r="W90" i="89" a="1"/>
  <c r="W90" i="89" l="1"/>
  <c r="L90" i="89" a="1"/>
  <c r="L90" i="89" l="1"/>
  <c r="K90" i="89" a="1"/>
  <c r="K90" i="89" l="1"/>
  <c r="M90" i="89" s="1"/>
  <c r="H90" i="89"/>
  <c r="F90" i="89" a="1"/>
  <c r="I90" i="89" l="1"/>
  <c r="F90" i="89"/>
  <c r="AG90" i="89"/>
  <c r="N90" i="89"/>
  <c r="P90" i="89" l="1"/>
  <c r="Q90" i="89" s="1"/>
  <c r="AG89" i="89" l="1"/>
  <c r="AC90" i="89" l="1"/>
  <c r="Y90" i="89"/>
  <c r="U90" i="89"/>
  <c r="J90" i="89"/>
  <c r="W89" i="89" a="1"/>
  <c r="W89" i="89" l="1"/>
  <c r="T91" i="89" l="1"/>
  <c r="I92" i="89" s="1"/>
  <c r="L89" i="89" a="1"/>
  <c r="L89" i="89" l="1"/>
  <c r="K89" i="89" a="1"/>
  <c r="K89" i="89" l="1"/>
  <c r="K92" i="89" s="1"/>
  <c r="K91" i="89"/>
  <c r="M89" i="89"/>
  <c r="I89" i="89"/>
  <c r="F89" i="89" a="1"/>
  <c r="F89" i="89" l="1"/>
  <c r="N89" i="89"/>
  <c r="P89" i="89" l="1"/>
  <c r="Q89" i="89" s="1"/>
  <c r="Q91" i="89" s="1"/>
  <c r="D88" i="89" l="1"/>
  <c r="L87" i="89"/>
  <c r="S89" i="89" a="1"/>
  <c r="S89" i="89" l="1"/>
  <c r="AC89" i="89" l="1"/>
  <c r="Y89" i="89"/>
  <c r="U89" i="89"/>
  <c r="J89" i="89"/>
  <c r="Y91" i="89" l="1"/>
  <c r="Y92" i="89" s="1"/>
  <c r="M82" i="89" l="1"/>
  <c r="I82" i="89"/>
  <c r="H82" i="89"/>
  <c r="AA82" i="89" a="1"/>
  <c r="AA82" i="89" l="1"/>
  <c r="AE82" i="89"/>
  <c r="P82" i="89"/>
  <c r="Q82" i="89" s="1"/>
  <c r="AE81" i="89" l="1"/>
  <c r="AC82" i="89" l="1"/>
  <c r="Y82" i="89"/>
  <c r="U82" i="89"/>
  <c r="J82" i="89"/>
  <c r="T83" i="89" l="1"/>
  <c r="K84" i="89" l="1"/>
  <c r="K83" i="89"/>
  <c r="M81" i="89"/>
  <c r="I81" i="89"/>
  <c r="AA81" i="89" a="1"/>
  <c r="AA81" i="89" l="1"/>
  <c r="I83" i="89"/>
  <c r="I84" i="89" s="1"/>
  <c r="S81" i="89" a="1"/>
  <c r="S81" i="89" l="1"/>
  <c r="R81" i="89" a="1"/>
  <c r="R81" i="89" l="1"/>
  <c r="P81" i="89"/>
  <c r="Q81" i="89" s="1"/>
  <c r="Q83" i="89" s="1"/>
  <c r="AC81" i="89"/>
  <c r="Y81" i="89"/>
  <c r="U81" i="89"/>
  <c r="J81" i="89"/>
  <c r="Y84" i="89" l="1"/>
  <c r="Y85" i="89" s="1"/>
  <c r="W76" i="89" a="1"/>
  <c r="W76" i="89" l="1"/>
  <c r="L76" i="89" a="1"/>
  <c r="L76" i="89" l="1"/>
  <c r="K76" i="89" a="1"/>
  <c r="K76" i="89" l="1"/>
  <c r="M76" i="89" s="1"/>
  <c r="H76" i="89"/>
  <c r="I76" i="89" l="1"/>
  <c r="AE76" i="89"/>
  <c r="AA76" i="89" a="1"/>
  <c r="AA76" i="89" l="1"/>
  <c r="P76" i="89"/>
  <c r="Q76" i="89" s="1"/>
  <c r="AE75" i="89"/>
  <c r="AC76" i="89" l="1"/>
  <c r="Y76" i="89"/>
  <c r="U76" i="89"/>
  <c r="J76" i="89"/>
  <c r="W79" i="89" l="1"/>
  <c r="T77" i="89" l="1"/>
  <c r="K78" i="89" l="1"/>
  <c r="K77" i="89"/>
  <c r="I75" i="89"/>
  <c r="AA75" i="89" a="1"/>
  <c r="AA75" i="89" l="1"/>
  <c r="M75" i="89"/>
  <c r="I77" i="89"/>
  <c r="I78" i="89" s="1"/>
  <c r="K85" i="89"/>
  <c r="P75" i="89" l="1"/>
  <c r="Q75" i="89" s="1"/>
  <c r="Q77" i="89" s="1"/>
  <c r="L74" i="89" l="1"/>
  <c r="AC75" i="89" l="1"/>
  <c r="Y75" i="89"/>
  <c r="U75" i="89"/>
  <c r="J75" i="89"/>
  <c r="Y78" i="89" l="1"/>
  <c r="Y79" i="89" s="1"/>
  <c r="W69" i="89" a="1"/>
  <c r="W69" i="89" l="1"/>
  <c r="L69" i="89" a="1"/>
  <c r="L69" i="89" l="1"/>
  <c r="K69" i="89" a="1"/>
  <c r="K69" i="89" l="1"/>
  <c r="M69" i="89"/>
  <c r="I69" i="89"/>
  <c r="H69" i="89"/>
  <c r="F69" i="89" a="1"/>
  <c r="F69" i="89" l="1"/>
  <c r="AE69" i="89"/>
  <c r="N69" i="89" a="1"/>
  <c r="N69" i="89" l="1"/>
  <c r="P69" i="89" l="1"/>
  <c r="Q69" i="89" s="1"/>
  <c r="AE68" i="89" l="1"/>
  <c r="S69" i="89" a="1"/>
  <c r="S69" i="89" l="1"/>
  <c r="R69" i="89" a="1"/>
  <c r="R69" i="89" l="1"/>
  <c r="AC69" i="89"/>
  <c r="Y69" i="89"/>
  <c r="U69" i="89"/>
  <c r="J69" i="89"/>
  <c r="W68" i="89" a="1"/>
  <c r="W68" i="89" l="1"/>
  <c r="T70" i="89" l="1"/>
  <c r="L68" i="89" a="1"/>
  <c r="L68" i="89" l="1"/>
  <c r="K68" i="89" a="1"/>
  <c r="K68" i="89" l="1"/>
  <c r="K71" i="89" s="1"/>
  <c r="L72" i="89"/>
  <c r="K70" i="89"/>
  <c r="M68" i="89"/>
  <c r="I68" i="89"/>
  <c r="F68" i="89" a="1"/>
  <c r="F68" i="89" l="1"/>
  <c r="I70" i="89"/>
  <c r="I71" i="89" s="1"/>
  <c r="N79" i="89"/>
  <c r="K79" i="89"/>
  <c r="N68" i="89" a="1"/>
  <c r="N68" i="89" l="1"/>
  <c r="S68" i="89" a="1"/>
  <c r="S68" i="89" l="1"/>
  <c r="P68" i="89"/>
  <c r="Q68" i="89" s="1"/>
  <c r="Q70" i="89" s="1"/>
  <c r="R68" i="89" a="1"/>
  <c r="R68" i="89" l="1"/>
  <c r="AC68" i="89"/>
  <c r="Y68" i="89"/>
  <c r="U68" i="89"/>
  <c r="J68" i="89"/>
  <c r="Y71" i="89" l="1"/>
  <c r="Y72" i="89" s="1"/>
  <c r="W63" i="89" a="1"/>
  <c r="W63" i="89" l="1"/>
  <c r="L63" i="89" a="1"/>
  <c r="L63" i="89" l="1"/>
  <c r="K63" i="89" a="1"/>
  <c r="K63" i="89" l="1"/>
  <c r="M63" i="89" s="1"/>
  <c r="H63" i="89"/>
  <c r="F63" i="89" a="1"/>
  <c r="I63" i="89" l="1"/>
  <c r="F63" i="89"/>
  <c r="AE63" i="89"/>
  <c r="AA63" i="89" a="1"/>
  <c r="AA63" i="89" l="1"/>
  <c r="P63" i="89"/>
  <c r="Q63" i="89" s="1"/>
  <c r="AE62" i="89" l="1"/>
  <c r="AC63" i="89" l="1"/>
  <c r="Y63" i="89"/>
  <c r="U63" i="89"/>
  <c r="J63" i="89"/>
  <c r="W62" i="89" a="1"/>
  <c r="W62" i="89" l="1"/>
  <c r="T64" i="89" l="1"/>
  <c r="L62" i="89" a="1"/>
  <c r="L62" i="89" l="1"/>
  <c r="K62" i="89" a="1"/>
  <c r="K62" i="89" l="1"/>
  <c r="M62" i="89" s="1"/>
  <c r="K64" i="89"/>
  <c r="I62" i="89"/>
  <c r="AA62" i="89" a="1"/>
  <c r="F62" i="89" a="1"/>
  <c r="AA62" i="89" l="1"/>
  <c r="F62" i="89"/>
  <c r="I64" i="89"/>
  <c r="I65" i="89" s="1"/>
  <c r="K72" i="89"/>
  <c r="K65" i="89"/>
  <c r="K73" i="89" s="1"/>
  <c r="P62" i="89" l="1"/>
  <c r="P72" i="89" l="1"/>
  <c r="Q62" i="89"/>
  <c r="Q64" i="89" s="1"/>
  <c r="L61" i="89"/>
  <c r="S62" i="89" a="1"/>
  <c r="S62" i="89" l="1"/>
  <c r="R62" i="89" a="1"/>
  <c r="R62" i="89" l="1"/>
  <c r="AC62" i="89"/>
  <c r="Y62" i="89"/>
  <c r="U62" i="89"/>
  <c r="J62" i="89"/>
  <c r="T61" i="89"/>
  <c r="Y64" i="89" l="1"/>
  <c r="Z65" i="89" s="1"/>
  <c r="W56" i="89" a="1"/>
  <c r="W56" i="89" l="1"/>
  <c r="L56" i="89" a="1"/>
  <c r="L56" i="89" l="1"/>
  <c r="K56" i="89" a="1"/>
  <c r="K56" i="89" l="1"/>
  <c r="M56" i="89"/>
  <c r="I56" i="89"/>
  <c r="H56" i="89"/>
  <c r="F56" i="89" a="1"/>
  <c r="F56" i="89" l="1"/>
  <c r="AE56" i="89"/>
  <c r="N56" i="89" a="1"/>
  <c r="N56" i="89" l="1"/>
  <c r="P56" i="89" l="1"/>
  <c r="Q56" i="89" s="1"/>
  <c r="AE55" i="89" l="1"/>
  <c r="S56" i="89" a="1"/>
  <c r="S56" i="89" l="1"/>
  <c r="R56" i="89" a="1"/>
  <c r="R56" i="89" l="1"/>
  <c r="AC56" i="89"/>
  <c r="Y56" i="89"/>
  <c r="U56" i="89"/>
  <c r="J56" i="89"/>
  <c r="W55" i="89" a="1"/>
  <c r="W55" i="89" l="1"/>
  <c r="T57" i="89" l="1"/>
  <c r="L55" i="89" a="1"/>
  <c r="L55" i="89" l="1"/>
  <c r="K55" i="89" a="1"/>
  <c r="K55" i="89" l="1"/>
  <c r="K58" i="89" s="1"/>
  <c r="K57" i="89"/>
  <c r="M55" i="89"/>
  <c r="I55" i="89"/>
  <c r="F55" i="89" a="1"/>
  <c r="F55" i="89" l="1"/>
  <c r="I57" i="89"/>
  <c r="N55" i="89" a="1"/>
  <c r="N55" i="89" l="1"/>
  <c r="I60" i="89"/>
  <c r="G57" i="89"/>
  <c r="I58" i="89"/>
  <c r="P55" i="89" l="1"/>
  <c r="Q55" i="89" s="1"/>
  <c r="Q57" i="89" s="1"/>
  <c r="P54" i="89" l="1"/>
  <c r="A51" i="89"/>
  <c r="AC55" i="89" l="1"/>
  <c r="Y55" i="89"/>
  <c r="U55" i="89"/>
  <c r="J55" i="89"/>
  <c r="J54" i="89" s="1"/>
  <c r="Y58" i="89" l="1"/>
  <c r="Y59" i="89" s="1"/>
  <c r="W50" i="89" a="1"/>
  <c r="W50" i="89" l="1"/>
  <c r="L50" i="89" a="1"/>
  <c r="L50" i="89" l="1"/>
  <c r="K50" i="89" a="1"/>
  <c r="K50" i="89" l="1"/>
  <c r="M50" i="89" s="1"/>
  <c r="H50" i="89"/>
  <c r="F50" i="89" a="1"/>
  <c r="I50" i="89" l="1"/>
  <c r="F50" i="89"/>
  <c r="AE50" i="89"/>
  <c r="AA50" i="89" a="1"/>
  <c r="AA50" i="89" l="1"/>
  <c r="P50" i="89"/>
  <c r="Q50" i="89" s="1"/>
  <c r="AE49" i="89" l="1"/>
  <c r="AC50" i="89" l="1"/>
  <c r="Y50" i="89"/>
  <c r="U50" i="89"/>
  <c r="J50" i="89"/>
  <c r="W49" i="89" a="1"/>
  <c r="W49" i="89" l="1"/>
  <c r="T51" i="89" l="1"/>
  <c r="I52" i="89" s="1"/>
  <c r="L49" i="89" a="1"/>
  <c r="L49" i="89" l="1"/>
  <c r="K49" i="89" a="1"/>
  <c r="K49" i="89" l="1"/>
  <c r="K52" i="89" s="1"/>
  <c r="K51" i="89"/>
  <c r="I49" i="89"/>
  <c r="AA49" i="89" a="1"/>
  <c r="F49" i="89" a="1"/>
  <c r="AA49" i="89" l="1"/>
  <c r="M49" i="89"/>
  <c r="F49" i="89"/>
  <c r="K60" i="89"/>
  <c r="K59" i="89"/>
  <c r="P49" i="89" l="1"/>
  <c r="Q49" i="89" s="1"/>
  <c r="Q51" i="89" s="1"/>
  <c r="I48" i="89" l="1"/>
  <c r="P47" i="89"/>
  <c r="L46" i="89"/>
  <c r="K46" i="89"/>
  <c r="AC49" i="89" l="1"/>
  <c r="Y49" i="89"/>
  <c r="U49" i="89"/>
  <c r="J49" i="89"/>
  <c r="Y51" i="89" l="1"/>
  <c r="Z52" i="89" s="1"/>
  <c r="W40" i="89" a="1"/>
  <c r="W40" i="89" l="1"/>
  <c r="L40" i="89" a="1"/>
  <c r="L40" i="89" l="1"/>
  <c r="K40" i="89" a="1"/>
  <c r="K40" i="89" l="1"/>
  <c r="M40" i="89" s="1"/>
  <c r="H40" i="89"/>
  <c r="F40" i="89" a="1"/>
  <c r="I40" i="89" l="1"/>
  <c r="F40" i="89"/>
  <c r="AE40" i="89"/>
  <c r="AA40" i="89" a="1"/>
  <c r="AA40" i="89" l="1"/>
  <c r="P40" i="89"/>
  <c r="Q40" i="89" s="1"/>
  <c r="AE39" i="89" l="1"/>
  <c r="S40" i="89" a="1"/>
  <c r="S40" i="89" l="1"/>
  <c r="R40" i="89" a="1"/>
  <c r="R40" i="89" l="1"/>
  <c r="AC40" i="89"/>
  <c r="Y40" i="89"/>
  <c r="U40" i="89"/>
  <c r="J40" i="89"/>
  <c r="A40" i="89"/>
  <c r="W39" i="89" a="1"/>
  <c r="W39" i="89" l="1"/>
  <c r="W43" i="89" s="1"/>
  <c r="T41" i="89" l="1"/>
  <c r="L39" i="89" a="1"/>
  <c r="L39" i="89" l="1"/>
  <c r="K39" i="89" a="1"/>
  <c r="K39" i="89" l="1"/>
  <c r="K42" i="89" s="1"/>
  <c r="K41" i="89"/>
  <c r="I39" i="89"/>
  <c r="AA39" i="89" a="1"/>
  <c r="F39" i="89" a="1"/>
  <c r="AA39" i="89" l="1"/>
  <c r="M39" i="89"/>
  <c r="F39" i="89"/>
  <c r="I41" i="89"/>
  <c r="I42" i="89" s="1"/>
  <c r="P39" i="89" l="1"/>
  <c r="P42" i="89" l="1"/>
  <c r="Q39" i="89"/>
  <c r="Q41" i="89" s="1"/>
  <c r="AC39" i="89" l="1"/>
  <c r="Y39" i="89"/>
  <c r="U39" i="89"/>
  <c r="J39" i="89"/>
  <c r="J38" i="89" s="1"/>
  <c r="A39" i="89"/>
  <c r="Y41" i="89" l="1"/>
  <c r="W34" i="89" a="1"/>
  <c r="W34" i="89" l="1"/>
  <c r="Y42" i="89"/>
  <c r="P43" i="89"/>
  <c r="L34" i="89" a="1"/>
  <c r="L34" i="89" l="1"/>
  <c r="K34" i="89" a="1"/>
  <c r="K34" i="89" l="1"/>
  <c r="I34" i="89" s="1"/>
  <c r="H34" i="89"/>
  <c r="AA34" i="89" a="1"/>
  <c r="F34" i="89" a="1"/>
  <c r="AA34" i="89" l="1"/>
  <c r="M34" i="89"/>
  <c r="F34" i="89"/>
  <c r="AE34" i="89"/>
  <c r="P34" i="89" l="1"/>
  <c r="Q34" i="89" s="1"/>
  <c r="AE33" i="89"/>
  <c r="S34" i="89"/>
  <c r="R34" i="89" s="1" a="1"/>
  <c r="R34" i="89" l="1"/>
  <c r="AC34" i="89"/>
  <c r="Y34" i="89"/>
  <c r="U34" i="89"/>
  <c r="J34" i="89"/>
  <c r="W33" i="89" a="1"/>
  <c r="W33" i="89" l="1"/>
  <c r="W37" i="89" s="1"/>
  <c r="T35" i="89" l="1"/>
  <c r="L33" i="89" a="1"/>
  <c r="L33" i="89" l="1"/>
  <c r="K33" i="89" a="1"/>
  <c r="K33" i="89" l="1"/>
  <c r="K36" i="89" s="1"/>
  <c r="K35" i="89"/>
  <c r="I33" i="89"/>
  <c r="AA33" i="89" a="1"/>
  <c r="F33" i="89" a="1"/>
  <c r="AA33" i="89" l="1"/>
  <c r="M33" i="89"/>
  <c r="F33" i="89"/>
  <c r="K37" i="89"/>
  <c r="I35" i="89"/>
  <c r="L44" i="89"/>
  <c r="K44" i="89"/>
  <c r="K43" i="89"/>
  <c r="I36" i="89" l="1"/>
  <c r="P33" i="89" l="1"/>
  <c r="P36" i="89" l="1"/>
  <c r="Q33" i="89"/>
  <c r="Q35" i="89" s="1"/>
  <c r="S33" i="89"/>
  <c r="R33" i="89" s="1" a="1"/>
  <c r="R33" i="89" l="1"/>
  <c r="AC33" i="89"/>
  <c r="Y33" i="89"/>
  <c r="U33" i="89"/>
  <c r="J33" i="89"/>
  <c r="I37" i="89"/>
  <c r="P44" i="89"/>
  <c r="P37" i="89"/>
  <c r="Y35" i="89" l="1"/>
  <c r="Y36" i="89" s="1"/>
  <c r="Y43" i="89" s="1"/>
  <c r="W27" i="89" a="1"/>
  <c r="W27" i="89" l="1"/>
  <c r="L27" i="89" a="1"/>
  <c r="L27" i="89" l="1"/>
  <c r="K27" i="89" a="1"/>
  <c r="K27" i="89" l="1"/>
  <c r="M27" i="89" s="1"/>
  <c r="I27" i="89"/>
  <c r="H27" i="89"/>
  <c r="AA27" i="89" a="1"/>
  <c r="F27" i="89" a="1"/>
  <c r="AA27" i="89" l="1"/>
  <c r="F27" i="89"/>
  <c r="AE27" i="89"/>
  <c r="P27" i="89" l="1"/>
  <c r="Q27" i="89" s="1"/>
  <c r="A27" i="89"/>
  <c r="AE26" i="89"/>
  <c r="S27" i="89" a="1"/>
  <c r="S27" i="89" l="1"/>
  <c r="R27" i="89" a="1"/>
  <c r="R27" i="89" l="1"/>
  <c r="AC27" i="89"/>
  <c r="Y27" i="89"/>
  <c r="U27" i="89"/>
  <c r="J27" i="89"/>
  <c r="W26" i="89" a="1"/>
  <c r="W26" i="89" l="1"/>
  <c r="T28" i="89" l="1"/>
  <c r="L26" i="89" a="1"/>
  <c r="L26" i="89" l="1"/>
  <c r="K26" i="89" a="1"/>
  <c r="K26" i="89" l="1"/>
  <c r="M26" i="89" s="1"/>
  <c r="L30" i="89"/>
  <c r="K28" i="89"/>
  <c r="F26" i="89" a="1"/>
  <c r="I26" i="89" l="1"/>
  <c r="K31" i="89" s="1"/>
  <c r="F26" i="89"/>
  <c r="K29" i="89"/>
  <c r="K30" i="89"/>
  <c r="N26" i="89" a="1"/>
  <c r="I28" i="89" l="1"/>
  <c r="I29" i="89" s="1"/>
  <c r="N26" i="89"/>
  <c r="P26" i="89" l="1"/>
  <c r="P29" i="89" l="1"/>
  <c r="Q26" i="89"/>
  <c r="Q28" i="89" s="1"/>
  <c r="A26" i="89"/>
  <c r="A29" i="89" s="1"/>
  <c r="I25" i="89"/>
  <c r="AL24" i="89"/>
  <c r="AK24" i="89"/>
  <c r="AL21" i="89"/>
  <c r="AK21" i="89"/>
  <c r="AJ20" i="89"/>
  <c r="S26" i="89" a="1"/>
  <c r="AB26" i="89" a="1"/>
  <c r="AB26" i="89" l="1"/>
  <c r="S26" i="89"/>
  <c r="R26" i="89" a="1"/>
  <c r="R26" i="89" l="1"/>
  <c r="AC26" i="89"/>
  <c r="Y26" i="89"/>
  <c r="U26" i="89"/>
  <c r="J26" i="89"/>
  <c r="I30" i="89"/>
  <c r="Y28" i="89" l="1"/>
  <c r="W20" i="89" a="1"/>
  <c r="W20" i="89" l="1"/>
  <c r="Y30" i="89"/>
  <c r="X30" i="89" s="1"/>
  <c r="P30" i="89"/>
  <c r="L20" i="89" a="1"/>
  <c r="L20" i="89" l="1"/>
  <c r="K20" i="89" a="1"/>
  <c r="K20" i="89" l="1"/>
  <c r="M20" i="89" s="1"/>
  <c r="H20" i="89"/>
  <c r="F20" i="89" a="1"/>
  <c r="I20" i="89" l="1"/>
  <c r="F20" i="89"/>
  <c r="AE20" i="89"/>
  <c r="AA20" i="89" a="1"/>
  <c r="AA20" i="89" l="1"/>
  <c r="I23" i="89"/>
  <c r="P20" i="89" l="1"/>
  <c r="Q20" i="89" s="1"/>
  <c r="AJ19" i="89"/>
  <c r="AE19" i="89"/>
  <c r="AC20" i="89" l="1"/>
  <c r="Y20" i="89"/>
  <c r="U20" i="89"/>
  <c r="J20" i="89"/>
  <c r="W19" i="89"/>
  <c r="T21" i="89" l="1"/>
  <c r="L19" i="89"/>
  <c r="K19" i="89"/>
  <c r="K23" i="89" l="1"/>
  <c r="K22" i="89"/>
  <c r="L23" i="89"/>
  <c r="K21" i="89"/>
  <c r="M19" i="89"/>
  <c r="I19" i="89"/>
  <c r="AA19" i="89" a="1"/>
  <c r="S19" i="89" a="1"/>
  <c r="F19" i="89"/>
  <c r="AA19" i="89" l="1"/>
  <c r="S19" i="89"/>
  <c r="I21" i="89"/>
  <c r="I22" i="89" s="1"/>
  <c r="G18" i="89"/>
  <c r="R19" i="89" a="1"/>
  <c r="R19" i="89" l="1"/>
  <c r="J19" i="89"/>
  <c r="AC19" i="89"/>
  <c r="Y19" i="89"/>
  <c r="U19" i="89"/>
  <c r="P19" i="89" l="1"/>
  <c r="Y21" i="89"/>
  <c r="Y22" i="89" s="1"/>
  <c r="W14" i="89" a="1"/>
  <c r="P22" i="89" l="1"/>
  <c r="P23" i="89" s="1"/>
  <c r="Q19" i="89"/>
  <c r="Q21" i="89" s="1"/>
  <c r="W14" i="89"/>
  <c r="L14" i="89" a="1"/>
  <c r="L14" i="89" l="1"/>
  <c r="K14" i="89" a="1"/>
  <c r="K14" i="89" l="1"/>
  <c r="I14" i="89" s="1"/>
  <c r="H14" i="89"/>
  <c r="AA14" i="89" a="1"/>
  <c r="F14" i="89" a="1"/>
  <c r="AA14" i="89" l="1"/>
  <c r="M14" i="89"/>
  <c r="F14" i="89"/>
  <c r="AF14" i="89"/>
  <c r="AE14" i="89"/>
  <c r="P14" i="89" l="1"/>
  <c r="Q14" i="89" s="1"/>
  <c r="AF13" i="89"/>
  <c r="AE13" i="89"/>
  <c r="S14" i="89" a="1"/>
  <c r="S14" i="89" l="1"/>
  <c r="R14" i="89" a="1"/>
  <c r="R14" i="89" l="1"/>
  <c r="AC14" i="89"/>
  <c r="Y14" i="89"/>
  <c r="U14" i="89"/>
  <c r="J14" i="89"/>
  <c r="W13" i="89" a="1"/>
  <c r="W13" i="89" l="1"/>
  <c r="W16" i="89" s="1"/>
  <c r="T15" i="89" l="1"/>
  <c r="L13" i="89" a="1"/>
  <c r="L13" i="89" l="1"/>
  <c r="K13" i="89" a="1"/>
  <c r="K13" i="89" l="1"/>
  <c r="M13" i="89" s="1"/>
  <c r="L17" i="89"/>
  <c r="K15" i="89"/>
  <c r="I13" i="89"/>
  <c r="AA13" i="89" a="1"/>
  <c r="F13" i="89" a="1"/>
  <c r="AA13" i="89" l="1"/>
  <c r="F13" i="89"/>
  <c r="I15" i="89"/>
  <c r="I16" i="89" s="1"/>
  <c r="K16" i="89"/>
  <c r="K17" i="89"/>
  <c r="P13" i="89" l="1"/>
  <c r="P16" i="89" l="1"/>
  <c r="Q13" i="89"/>
  <c r="Q15" i="89" s="1"/>
  <c r="Q17" i="89" s="1"/>
  <c r="AI12" i="89"/>
  <c r="AH12" i="89"/>
  <c r="AI11" i="89"/>
  <c r="AH11" i="89"/>
  <c r="AJ11" i="89" s="1"/>
  <c r="S13" i="89" a="1"/>
  <c r="S13" i="89" l="1"/>
  <c r="R13" i="89" a="1"/>
  <c r="R13" i="89" l="1"/>
  <c r="AC13" i="89"/>
  <c r="Y13" i="89"/>
  <c r="U13" i="89"/>
  <c r="J13" i="89"/>
  <c r="J17" i="89" s="1"/>
  <c r="Y15" i="89" l="1"/>
  <c r="W8" i="89" a="1"/>
  <c r="W8" i="89" l="1"/>
  <c r="Y16" i="89"/>
  <c r="P17" i="89"/>
  <c r="L8" i="89" a="1"/>
  <c r="L8" i="89" l="1"/>
  <c r="K8" i="89" a="1"/>
  <c r="K8" i="89" l="1"/>
  <c r="M8" i="89" s="1"/>
  <c r="H8" i="89"/>
  <c r="F8" i="89" a="1"/>
  <c r="I8" i="89" l="1"/>
  <c r="F8" i="89"/>
  <c r="AF8" i="89"/>
  <c r="AE8" i="89"/>
  <c r="AA8" i="89" a="1"/>
  <c r="AA8" i="89" l="1"/>
  <c r="P8" i="89"/>
  <c r="Q8" i="89" s="1"/>
  <c r="AF7" i="89" l="1"/>
  <c r="AE7" i="89"/>
  <c r="W7" i="89" a="1"/>
  <c r="W7" i="89" l="1"/>
  <c r="AC8" i="89"/>
  <c r="Y8" i="89"/>
  <c r="U8" i="89"/>
  <c r="J8" i="89"/>
  <c r="T9" i="89" l="1"/>
  <c r="L7" i="89" a="1"/>
  <c r="L7" i="89" l="1"/>
  <c r="K7" i="89" a="1"/>
  <c r="K7" i="89" l="1"/>
  <c r="M7" i="89" s="1"/>
  <c r="L11" i="89"/>
  <c r="K9" i="89"/>
  <c r="I7" i="89"/>
  <c r="AA7" i="89"/>
  <c r="F7" i="89" a="1"/>
  <c r="F7" i="89" l="1"/>
  <c r="I9" i="89"/>
  <c r="I10" i="89" s="1"/>
  <c r="K11" i="89"/>
  <c r="K10" i="89"/>
  <c r="K18" i="89" s="1"/>
  <c r="K5" i="89" l="1"/>
  <c r="H53" i="2"/>
  <c r="H52" i="2"/>
  <c r="H51" i="2"/>
  <c r="H50" i="2"/>
  <c r="J48" i="2"/>
  <c r="J47" i="2"/>
  <c r="J46" i="2"/>
  <c r="J45" i="2"/>
  <c r="J44" i="2"/>
  <c r="J43" i="2"/>
  <c r="J42" i="2"/>
  <c r="J41" i="2"/>
  <c r="Q35" i="2"/>
  <c r="P35" i="2"/>
  <c r="BA32" i="2"/>
  <c r="J51" i="2" l="1"/>
  <c r="I51" i="2" s="1"/>
  <c r="J52" i="2"/>
  <c r="I52" i="2" s="1"/>
  <c r="J53" i="2"/>
  <c r="I53" i="2" s="1"/>
  <c r="J50" i="2"/>
  <c r="I50" i="2" s="1"/>
  <c r="P7" i="89"/>
  <c r="P10" i="89" l="1"/>
  <c r="Q7" i="89"/>
  <c r="Q9" i="89" s="1"/>
  <c r="AC7" i="89"/>
  <c r="Y7" i="89"/>
  <c r="U7" i="89"/>
  <c r="J7" i="89"/>
  <c r="J11" i="89" s="1"/>
  <c r="Y9" i="89" l="1"/>
  <c r="Y10" i="89" s="1"/>
  <c r="Q11" i="89"/>
  <c r="Q5" i="89"/>
  <c r="AN32" i="2" a="1"/>
  <c r="P11" i="89" l="1"/>
  <c r="AN32" i="2"/>
  <c r="AF32" i="2" a="1"/>
  <c r="AF32" i="2" l="1"/>
  <c r="Q32" i="2" a="1"/>
  <c r="Q32" i="2" l="1"/>
  <c r="P32" i="2" a="1"/>
  <c r="P32" i="2" l="1"/>
  <c r="R32" i="2" s="1"/>
  <c r="L32" i="2" a="1"/>
  <c r="L32" i="2" l="1"/>
  <c r="BB32" i="2"/>
  <c r="BC32" i="2" s="1"/>
  <c r="G32" i="2" a="1"/>
  <c r="G32" i="2" l="1"/>
  <c r="O32" i="2"/>
  <c r="AO32" i="2" l="1"/>
  <c r="AP32" i="2"/>
  <c r="U32" i="2"/>
  <c r="AE32" i="2" l="1"/>
  <c r="AS32" i="2"/>
  <c r="AT32" i="2"/>
  <c r="AL32" i="2"/>
  <c r="AB32" i="2"/>
  <c r="M32" i="2"/>
  <c r="BA31" i="2"/>
  <c r="AM32" i="2" l="1"/>
  <c r="X32" i="2"/>
  <c r="Y32" i="2" s="1"/>
  <c r="AN31" i="2" a="1"/>
  <c r="AN31" i="2" l="1"/>
  <c r="AF31" i="2" a="1"/>
  <c r="AF31" i="2" l="1"/>
  <c r="Q31" i="2" a="1"/>
  <c r="Q31" i="2" l="1"/>
  <c r="P31" i="2" a="1"/>
  <c r="P31" i="2" l="1"/>
  <c r="R31" i="2" s="1"/>
  <c r="L31" i="2" a="1"/>
  <c r="L31" i="2" l="1"/>
  <c r="BB31" i="2"/>
  <c r="BC31" i="2" s="1"/>
  <c r="G31" i="2" a="1"/>
  <c r="G31" i="2" l="1"/>
  <c r="O31" i="2"/>
  <c r="AO31" i="2" l="1"/>
  <c r="AP31" i="2"/>
  <c r="U31" i="2"/>
  <c r="Z31" i="2"/>
  <c r="AV31" i="2" s="1" a="1"/>
  <c r="AV31" i="2" l="1"/>
  <c r="AE31" i="2"/>
  <c r="AT31" i="2"/>
  <c r="AS31" i="2"/>
  <c r="AL31" i="2"/>
  <c r="AB31" i="2"/>
  <c r="M31" i="2"/>
  <c r="BB28" i="2"/>
  <c r="BA28" i="2"/>
  <c r="T50" i="1" l="1"/>
  <c r="BC28" i="2"/>
  <c r="AM31" i="2"/>
  <c r="X31" i="2"/>
  <c r="Y31" i="2" s="1"/>
  <c r="AN28" i="2" a="1"/>
  <c r="AN28" i="2" l="1"/>
  <c r="AF28" i="2" a="1"/>
  <c r="AF28" i="2" l="1"/>
  <c r="Q28" i="2" a="1"/>
  <c r="Q28" i="2" l="1"/>
  <c r="P28" i="2" a="1"/>
  <c r="P28" i="2" l="1"/>
  <c r="R28" i="2" s="1"/>
  <c r="L28" i="2" a="1"/>
  <c r="L28" i="2" l="1"/>
  <c r="G28" i="2" a="1"/>
  <c r="G28" i="2" l="1"/>
  <c r="O28" i="2"/>
  <c r="AO28" i="2" l="1"/>
  <c r="AP28" i="2"/>
  <c r="U28" i="2" l="1"/>
  <c r="BA26" i="2"/>
  <c r="AE28" i="2" l="1"/>
  <c r="AT28" i="2"/>
  <c r="AS28" i="2"/>
  <c r="AL28" i="2"/>
  <c r="Q16" i="1" s="1"/>
  <c r="AM28" i="2"/>
  <c r="X28" i="2"/>
  <c r="Y28" i="2" s="1"/>
  <c r="AB28" i="2"/>
  <c r="M28" i="2"/>
  <c r="AN26" i="2" a="1"/>
  <c r="T16" i="1" l="1"/>
  <c r="AN26" i="2"/>
  <c r="AF26" i="2" a="1"/>
  <c r="F16" i="1" l="1"/>
  <c r="AF26" i="2"/>
  <c r="Q26" i="2" a="1"/>
  <c r="Q26" i="2" l="1"/>
  <c r="P26" i="2" a="1"/>
  <c r="P26" i="2" l="1"/>
  <c r="R26" i="2" s="1"/>
  <c r="L26" i="2" a="1"/>
  <c r="L26" i="2" l="1"/>
  <c r="BB26" i="2"/>
  <c r="BC26" i="2" s="1"/>
  <c r="G26" i="2" a="1"/>
  <c r="G26" i="2" l="1"/>
  <c r="O26" i="2"/>
  <c r="AO26" i="2" l="1"/>
  <c r="AP26" i="2"/>
  <c r="U26" i="2"/>
  <c r="Z26" i="2"/>
  <c r="AV26" i="2" s="1" a="1"/>
  <c r="AV26" i="2" l="1"/>
  <c r="AE26" i="2"/>
  <c r="AT26" i="2"/>
  <c r="AS26" i="2"/>
  <c r="AL26" i="2"/>
  <c r="AB26" i="2"/>
  <c r="M26" i="2"/>
  <c r="BA25" i="2"/>
  <c r="AM26" i="2" l="1"/>
  <c r="X26" i="2"/>
  <c r="Y26" i="2" s="1"/>
  <c r="AN25" i="2" a="1"/>
  <c r="AN25" i="2" l="1"/>
  <c r="AF25" i="2" a="1"/>
  <c r="AF25" i="2" l="1"/>
  <c r="Q25" i="2" a="1"/>
  <c r="Q25" i="2" l="1"/>
  <c r="P25" i="2" a="1"/>
  <c r="P25" i="2" l="1"/>
  <c r="R25" i="2" s="1"/>
  <c r="L25" i="2" a="1"/>
  <c r="L25" i="2" l="1"/>
  <c r="BB25" i="2"/>
  <c r="BC25" i="2" s="1"/>
  <c r="G25" i="2" a="1"/>
  <c r="G25" i="2" l="1"/>
  <c r="O25" i="2"/>
  <c r="AO25" i="2" l="1"/>
  <c r="U25" i="2"/>
  <c r="AP25" i="2"/>
  <c r="Z25" i="2"/>
  <c r="AV25" i="2" s="1" a="1"/>
  <c r="AV25" i="2" l="1"/>
  <c r="AE25" i="2"/>
  <c r="AT25" i="2"/>
  <c r="AS25" i="2"/>
  <c r="AL25" i="2"/>
  <c r="AB25" i="2"/>
  <c r="M25" i="2"/>
  <c r="BA24" i="2"/>
  <c r="AM25" i="2" l="1"/>
  <c r="X25" i="2"/>
  <c r="Y25" i="2" s="1"/>
  <c r="AN24" i="2" a="1"/>
  <c r="AN24" i="2" l="1"/>
  <c r="AF24" i="2" a="1"/>
  <c r="AF24" i="2" l="1"/>
  <c r="Q24" i="2" a="1"/>
  <c r="Q24" i="2" l="1"/>
  <c r="P24" i="2" a="1"/>
  <c r="P24" i="2" l="1"/>
  <c r="R24" i="2" s="1"/>
  <c r="L24" i="2" a="1"/>
  <c r="L24" i="2" l="1"/>
  <c r="BB24" i="2"/>
  <c r="BC24" i="2" s="1"/>
  <c r="G24" i="2" a="1"/>
  <c r="G24" i="2" l="1"/>
  <c r="O24" i="2"/>
  <c r="AO24" i="2" l="1"/>
  <c r="Z24" i="2"/>
  <c r="AV24" i="2" s="1" a="1"/>
  <c r="AV24" i="2" l="1"/>
  <c r="AP24" i="2"/>
  <c r="U24" i="2"/>
  <c r="AE24" i="2"/>
  <c r="AS24" i="2"/>
  <c r="AT24" i="2"/>
  <c r="AL24" i="2"/>
  <c r="AB24" i="2"/>
  <c r="M24" i="2"/>
  <c r="BA23" i="2"/>
  <c r="AM24" i="2" l="1"/>
  <c r="X24" i="2"/>
  <c r="Y24" i="2" s="1"/>
  <c r="AN23" i="2" a="1"/>
  <c r="AN23" i="2" l="1"/>
  <c r="Q23" i="2" a="1"/>
  <c r="Q23" i="2" l="1"/>
  <c r="P23" i="2" a="1"/>
  <c r="P23" i="2" l="1"/>
  <c r="R23" i="2" s="1"/>
  <c r="O23" i="2" l="1"/>
  <c r="BB23" i="2"/>
  <c r="BC23" i="2" s="1"/>
  <c r="G23" i="2" a="1"/>
  <c r="G23" i="2" l="1"/>
  <c r="AO23" i="2" l="1"/>
  <c r="AP23" i="2"/>
  <c r="U23" i="2"/>
  <c r="Z23" i="2"/>
  <c r="AV23" i="2" s="1" a="1"/>
  <c r="AV23" i="2" l="1"/>
  <c r="AE23" i="2"/>
  <c r="AT23" i="2"/>
  <c r="AS23" i="2"/>
  <c r="AL23" i="2"/>
  <c r="AB23" i="2"/>
  <c r="M23" i="2"/>
  <c r="BA22" i="2"/>
  <c r="AM23" i="2" l="1"/>
  <c r="X23" i="2"/>
  <c r="Y23" i="2" s="1"/>
  <c r="AN22" i="2" a="1"/>
  <c r="AN22" i="2" l="1"/>
  <c r="Q22" i="2" a="1"/>
  <c r="Q22" i="2" l="1"/>
  <c r="P22" i="2" a="1"/>
  <c r="P22" i="2" l="1"/>
  <c r="R22" i="2" s="1"/>
  <c r="L36" i="2" l="1"/>
  <c r="O22" i="2" l="1"/>
  <c r="BB22" i="2"/>
  <c r="BC22" i="2" s="1"/>
  <c r="G22" i="2" a="1"/>
  <c r="G22" i="2" l="1"/>
  <c r="AO22" i="2" l="1"/>
  <c r="AP22" i="2"/>
  <c r="U22" i="2"/>
  <c r="Z22" i="2"/>
  <c r="AV22" i="2" s="1" a="1"/>
  <c r="AV22" i="2" l="1"/>
  <c r="AE22" i="2"/>
  <c r="AT22" i="2"/>
  <c r="AS22" i="2"/>
  <c r="AL22" i="2"/>
  <c r="AB22" i="2"/>
  <c r="M22" i="2"/>
  <c r="BA21" i="2"/>
  <c r="T22" i="1" l="1"/>
  <c r="AM22" i="2"/>
  <c r="X22" i="2"/>
  <c r="Y22" i="2" s="1"/>
  <c r="AN21" i="2" a="1"/>
  <c r="AN21" i="2" l="1"/>
  <c r="AF21" i="2" a="1"/>
  <c r="AF21" i="2" l="1"/>
  <c r="Q21" i="2" a="1"/>
  <c r="Q21" i="2" l="1"/>
  <c r="P21" i="2" a="1"/>
  <c r="P21" i="2" l="1"/>
  <c r="R21" i="2" s="1"/>
  <c r="L21" i="2" a="1"/>
  <c r="L21" i="2" l="1"/>
  <c r="BB21" i="2"/>
  <c r="BC21" i="2" s="1"/>
  <c r="G21" i="2" a="1"/>
  <c r="G21" i="2" l="1"/>
  <c r="O21" i="2"/>
  <c r="AO21" i="2" l="1"/>
  <c r="AP21" i="2"/>
  <c r="U21" i="2"/>
  <c r="Z21" i="2"/>
  <c r="AV21" i="2" s="1" a="1"/>
  <c r="AV21" i="2" l="1"/>
  <c r="AE21" i="2"/>
  <c r="AT21" i="2"/>
  <c r="AS21" i="2"/>
  <c r="AL21" i="2"/>
  <c r="AB21" i="2"/>
  <c r="M21" i="2"/>
  <c r="BA20" i="2"/>
  <c r="AM21" i="2" l="1"/>
  <c r="X21" i="2"/>
  <c r="Y21" i="2" s="1"/>
  <c r="AN20" i="2" a="1"/>
  <c r="AN20" i="2" l="1"/>
  <c r="AF20" i="2" a="1"/>
  <c r="AF20" i="2" l="1"/>
  <c r="Q20" i="2" a="1"/>
  <c r="Q20" i="2" l="1"/>
  <c r="P20" i="2" a="1"/>
  <c r="P20" i="2" l="1"/>
  <c r="R20" i="2" s="1"/>
  <c r="L20" i="2" a="1"/>
  <c r="L20" i="2" l="1"/>
  <c r="L37" i="2" s="1"/>
  <c r="BB20" i="2"/>
  <c r="BC20" i="2" s="1"/>
  <c r="G20" i="2" a="1"/>
  <c r="G20" i="2" l="1"/>
  <c r="O20" i="2"/>
  <c r="AO20" i="2" l="1"/>
  <c r="AP20" i="2"/>
  <c r="U20" i="2"/>
  <c r="Z20" i="2"/>
  <c r="AV20" i="2" s="1" a="1"/>
  <c r="AV20" i="2" l="1"/>
  <c r="AE20" i="2"/>
  <c r="AT20" i="2"/>
  <c r="AS20" i="2"/>
  <c r="AL20" i="2"/>
  <c r="AB20" i="2"/>
  <c r="M20" i="2"/>
  <c r="BA17" i="2"/>
  <c r="T26" i="1" l="1"/>
  <c r="AM20" i="2"/>
  <c r="X20" i="2"/>
  <c r="Y20" i="2" s="1"/>
  <c r="AN17" i="2" a="1"/>
  <c r="AN17" i="2" l="1"/>
  <c r="Q17" i="2" a="1"/>
  <c r="Q17" i="2" l="1"/>
  <c r="P17" i="2" a="1"/>
  <c r="P17" i="2" l="1"/>
  <c r="R17" i="2" s="1"/>
  <c r="BB17" i="2" l="1"/>
  <c r="BC17" i="2" s="1"/>
  <c r="G17" i="2" a="1"/>
  <c r="G17" i="2" l="1"/>
  <c r="O17" i="2"/>
  <c r="AO17" i="2" l="1"/>
  <c r="AP17" i="2"/>
  <c r="U17" i="2"/>
  <c r="Z17" i="2"/>
  <c r="AV17" i="2" s="1" a="1"/>
  <c r="AV17" i="2" l="1"/>
  <c r="AE17" i="2"/>
  <c r="AT17" i="2"/>
  <c r="AS17" i="2"/>
  <c r="AL17" i="2"/>
  <c r="AB17" i="2"/>
  <c r="M17" i="2"/>
  <c r="BA16" i="2"/>
  <c r="AM17" i="2" l="1"/>
  <c r="X17" i="2"/>
  <c r="Y17" i="2" s="1"/>
  <c r="AN16" i="2" a="1"/>
  <c r="AN16" i="2" l="1"/>
  <c r="Q16" i="2" a="1"/>
  <c r="Q16" i="2" l="1"/>
  <c r="P16" i="2" a="1"/>
  <c r="P16" i="2" l="1"/>
  <c r="R16" i="2" s="1"/>
  <c r="BB16" i="2" l="1"/>
  <c r="BC16" i="2" s="1"/>
  <c r="G16" i="2" a="1"/>
  <c r="G16" i="2" l="1"/>
  <c r="O16" i="2"/>
  <c r="AO16" i="2" l="1"/>
  <c r="AP16" i="2"/>
  <c r="U16" i="2"/>
  <c r="Z16" i="2"/>
  <c r="AV16" i="2" s="1" a="1"/>
  <c r="AV16" i="2" l="1"/>
  <c r="AE16" i="2"/>
  <c r="AT16" i="2"/>
  <c r="AS16" i="2"/>
  <c r="AL16" i="2"/>
  <c r="AB16" i="2"/>
  <c r="M16" i="2"/>
  <c r="BA15" i="2"/>
  <c r="AM16" i="2" l="1"/>
  <c r="X16" i="2"/>
  <c r="Y16" i="2" s="1"/>
  <c r="AN15" i="2" a="1"/>
  <c r="AN15" i="2" l="1"/>
  <c r="Q15" i="2" a="1"/>
  <c r="Q15" i="2" l="1"/>
  <c r="P15" i="2" a="1"/>
  <c r="P15" i="2" l="1"/>
  <c r="R15" i="2" s="1"/>
  <c r="BB15" i="2" l="1"/>
  <c r="BC15" i="2" s="1"/>
  <c r="G15" i="2" a="1"/>
  <c r="G15" i="2" l="1"/>
  <c r="O15" i="2"/>
  <c r="AO15" i="2" l="1"/>
  <c r="AP15" i="2"/>
  <c r="U15" i="2"/>
  <c r="Z15" i="2"/>
  <c r="AV15" i="2" s="1" a="1"/>
  <c r="AV15" i="2" l="1"/>
  <c r="AE15" i="2"/>
  <c r="AT15" i="2"/>
  <c r="AS15" i="2"/>
  <c r="AL15" i="2"/>
  <c r="AB15" i="2"/>
  <c r="M15" i="2"/>
  <c r="BA14" i="2"/>
  <c r="AM15" i="2" l="1"/>
  <c r="X15" i="2"/>
  <c r="Y15" i="2" s="1"/>
  <c r="AN14" i="2" a="1"/>
  <c r="AN14" i="2" l="1"/>
  <c r="Q14" i="2" a="1"/>
  <c r="Q14" i="2" l="1"/>
  <c r="P14" i="2" a="1"/>
  <c r="P14" i="2" l="1"/>
  <c r="R14" i="2" s="1"/>
  <c r="L35" i="2" l="1"/>
  <c r="BB14" i="2"/>
  <c r="BC14" i="2" s="1"/>
  <c r="G14" i="2" a="1"/>
  <c r="G14" i="2" l="1"/>
  <c r="O14" i="2"/>
  <c r="AO14" i="2" l="1"/>
  <c r="AP14" i="2"/>
  <c r="U14" i="2"/>
  <c r="Z14" i="2"/>
  <c r="AV14" i="2" s="1" a="1"/>
  <c r="AV14" i="2" l="1"/>
  <c r="AE14" i="2"/>
  <c r="AT14" i="2"/>
  <c r="AS14" i="2"/>
  <c r="AL14" i="2"/>
  <c r="AB14" i="2"/>
  <c r="M14" i="2"/>
  <c r="BA13" i="2"/>
  <c r="T55" i="1" l="1"/>
  <c r="AM14" i="2"/>
  <c r="X14" i="2"/>
  <c r="Y14" i="2" s="1"/>
  <c r="AN13" i="2" a="1"/>
  <c r="AN13" i="2" l="1"/>
  <c r="AF13" i="2" a="1"/>
  <c r="AF13" i="2" l="1"/>
  <c r="Q13" i="2" a="1"/>
  <c r="Q13" i="2" l="1"/>
  <c r="P13" i="2" a="1"/>
  <c r="P13" i="2" l="1"/>
  <c r="R13" i="2" s="1"/>
  <c r="L13" i="2" a="1"/>
  <c r="L13" i="2" l="1"/>
  <c r="BB13" i="2"/>
  <c r="BC13" i="2" s="1"/>
  <c r="G13" i="2" a="1"/>
  <c r="G13" i="2" l="1"/>
  <c r="O13" i="2"/>
  <c r="AO13" i="2" l="1"/>
  <c r="AP13" i="2"/>
  <c r="U13" i="2"/>
  <c r="Z13" i="2"/>
  <c r="AV13" i="2" s="1" a="1"/>
  <c r="AV13" i="2" l="1"/>
  <c r="AE13" i="2"/>
  <c r="AT13" i="2"/>
  <c r="AS13" i="2"/>
  <c r="AL13" i="2"/>
  <c r="AB13" i="2"/>
  <c r="M13" i="2"/>
  <c r="BA12" i="2"/>
  <c r="AM13" i="2" l="1"/>
  <c r="X13" i="2"/>
  <c r="Y13" i="2" s="1"/>
  <c r="AN12" i="2" a="1"/>
  <c r="AN12" i="2" l="1"/>
  <c r="AF12" i="2" a="1"/>
  <c r="AF12" i="2" l="1"/>
  <c r="Q12" i="2" a="1"/>
  <c r="Q12" i="2" l="1"/>
  <c r="P12" i="2" a="1"/>
  <c r="P12" i="2" l="1"/>
  <c r="R12" i="2" s="1"/>
  <c r="L12" i="2" a="1"/>
  <c r="L12" i="2" l="1"/>
  <c r="BB12" i="2"/>
  <c r="BC12" i="2" s="1"/>
  <c r="G12" i="2" a="1"/>
  <c r="G12" i="2" l="1"/>
  <c r="O12" i="2"/>
  <c r="AO12" i="2" l="1"/>
  <c r="AP12" i="2"/>
  <c r="U12" i="2"/>
  <c r="Z12" i="2"/>
  <c r="AV12" i="2" s="1" a="1"/>
  <c r="AV12" i="2" l="1"/>
  <c r="AE12" i="2"/>
  <c r="AS12" i="2"/>
  <c r="AT12" i="2"/>
  <c r="AL12" i="2"/>
  <c r="Q28" i="1" s="1"/>
  <c r="AB12" i="2"/>
  <c r="M12" i="2"/>
  <c r="BA9" i="2"/>
  <c r="T28" i="1" l="1"/>
  <c r="T30" i="1"/>
  <c r="AM12" i="2"/>
  <c r="X12" i="2"/>
  <c r="Y12" i="2" s="1"/>
  <c r="AN9" i="2" a="1"/>
  <c r="AN9" i="2" l="1"/>
  <c r="Q9" i="2" a="1"/>
  <c r="Q9" i="2" l="1"/>
  <c r="P9" i="2" a="1"/>
  <c r="P9" i="2" l="1"/>
  <c r="R9" i="2" s="1"/>
  <c r="BB9" i="2" l="1"/>
  <c r="BC9" i="2" s="1"/>
  <c r="G9" i="2" a="1"/>
  <c r="G9" i="2" l="1"/>
  <c r="O9" i="2"/>
  <c r="AO9" i="2" l="1"/>
  <c r="AP9" i="2"/>
  <c r="U9" i="2"/>
  <c r="AE9" i="2" l="1"/>
  <c r="AT9" i="2"/>
  <c r="AS9" i="2"/>
  <c r="AL9" i="2"/>
  <c r="AB9" i="2"/>
  <c r="M9" i="2"/>
  <c r="BA8" i="2"/>
  <c r="T41" i="1" l="1"/>
  <c r="AM9" i="2"/>
  <c r="X9" i="2"/>
  <c r="Y9" i="2" s="1"/>
  <c r="AN8" i="2" a="1"/>
  <c r="AN8" i="2" l="1"/>
  <c r="AF8" i="2" a="1"/>
  <c r="AF8" i="2" l="1"/>
  <c r="Q8" i="2" a="1"/>
  <c r="Q8" i="2" l="1"/>
  <c r="P8" i="2" a="1"/>
  <c r="P8" i="2" l="1"/>
  <c r="R8" i="2" s="1"/>
  <c r="L8" i="2" a="1"/>
  <c r="L8" i="2" l="1"/>
  <c r="BB8" i="2"/>
  <c r="BC8" i="2" s="1"/>
  <c r="G8" i="2" a="1"/>
  <c r="G8" i="2" l="1"/>
  <c r="O8" i="2"/>
  <c r="AO8" i="2" l="1"/>
  <c r="AP8" i="2"/>
  <c r="U8" i="2"/>
  <c r="AE8" i="2" l="1"/>
  <c r="AT8" i="2"/>
  <c r="AS8" i="2"/>
  <c r="AL8" i="2"/>
  <c r="AB8" i="2"/>
  <c r="M8" i="2"/>
  <c r="BA5" i="2"/>
  <c r="T53" i="1" l="1"/>
  <c r="AM8" i="2"/>
  <c r="X8" i="2"/>
  <c r="Y8" i="2" s="1"/>
  <c r="AN5" i="2" a="1"/>
  <c r="AN5" i="2" l="1"/>
  <c r="AF5" i="2" a="1"/>
  <c r="AF5" i="2" l="1"/>
  <c r="Q5" i="2" a="1"/>
  <c r="Q5" i="2" l="1"/>
  <c r="P5" i="2" a="1"/>
  <c r="P5" i="2" l="1"/>
  <c r="R5" i="2" s="1"/>
  <c r="L5" i="2" a="1"/>
  <c r="L5" i="2" l="1"/>
  <c r="BB5" i="2"/>
  <c r="BC5" i="2" s="1"/>
  <c r="G5" i="2" a="1"/>
  <c r="G5" i="2" l="1"/>
  <c r="O5" i="2"/>
  <c r="AO5" i="2" l="1"/>
  <c r="AP5" i="2"/>
  <c r="U5" i="2"/>
  <c r="Z5" i="2"/>
  <c r="AV5" i="2" s="1" a="1"/>
  <c r="AV5" i="2" l="1"/>
  <c r="AE5" i="2"/>
  <c r="AT5" i="2"/>
  <c r="AS5" i="2"/>
  <c r="AL5" i="2"/>
  <c r="AB5" i="2"/>
  <c r="M5" i="2"/>
  <c r="BA4" i="2"/>
  <c r="T47" i="1" l="1"/>
  <c r="AM5" i="2"/>
  <c r="X5" i="2"/>
  <c r="Y5" i="2" s="1"/>
  <c r="AN4" i="2" a="1"/>
  <c r="AN4" i="2" l="1"/>
  <c r="AF4" i="2" a="1"/>
  <c r="AF4" i="2" l="1"/>
  <c r="Q4" i="2" a="1"/>
  <c r="Q4" i="2" l="1"/>
  <c r="P4" i="2" a="1"/>
  <c r="P4" i="2" l="1"/>
  <c r="R4" i="2" s="1"/>
  <c r="L4" i="2" a="1"/>
  <c r="L4" i="2" l="1"/>
  <c r="J4" i="2"/>
  <c r="BB4" i="2" s="1"/>
  <c r="BC4" i="2" s="1"/>
  <c r="G4" i="2" a="1"/>
  <c r="G4" i="2" l="1"/>
  <c r="K4" i="2"/>
  <c r="O4" i="2"/>
  <c r="AO4" i="2" l="1"/>
  <c r="U4" i="2"/>
  <c r="AP4" i="2"/>
  <c r="AE4" i="2" l="1"/>
  <c r="AT4" i="2"/>
  <c r="AS4" i="2"/>
  <c r="AL4" i="2"/>
  <c r="AB4" i="2"/>
  <c r="M4" i="2"/>
  <c r="U2" i="2"/>
  <c r="R2" i="2"/>
  <c r="Q2" i="2" a="1"/>
  <c r="Q2" i="2" l="1"/>
  <c r="S2" i="2"/>
  <c r="AM4" i="2"/>
  <c r="X4" i="2"/>
  <c r="Y4" i="2" s="1"/>
  <c r="P2" i="2" a="1"/>
  <c r="P2" i="2" l="1"/>
  <c r="L2" i="2" a="1"/>
  <c r="L2" i="2" l="1"/>
  <c r="I2" i="2" l="1"/>
  <c r="X1" i="2"/>
  <c r="R1" i="2"/>
  <c r="O1" i="2"/>
  <c r="H1" i="2"/>
  <c r="S62" i="1"/>
  <c r="Q62" i="1"/>
  <c r="N62" i="1" l="1"/>
  <c r="J62" i="1"/>
  <c r="T62" i="1" l="1"/>
  <c r="S61" i="1"/>
  <c r="Q61" i="1"/>
  <c r="N61" i="1" l="1"/>
  <c r="J61" i="1"/>
  <c r="T61" i="1" l="1"/>
  <c r="S58" i="1"/>
  <c r="Q58" i="1"/>
  <c r="I58" i="1" a="1"/>
  <c r="I58" i="1" l="1"/>
  <c r="N58" i="1" l="1"/>
  <c r="J58" i="1"/>
  <c r="T58" i="1" l="1"/>
  <c r="S56" i="1"/>
  <c r="Q56" i="1"/>
  <c r="N56" i="1" l="1"/>
  <c r="J56" i="1"/>
  <c r="T56" i="1" l="1"/>
  <c r="Q54" i="1"/>
  <c r="N54" i="1" l="1"/>
  <c r="J54" i="1"/>
  <c r="T54" i="1" l="1"/>
  <c r="Q52" i="1"/>
  <c r="I52" i="1" a="1"/>
  <c r="I52" i="1" l="1"/>
  <c r="N52" i="1" l="1"/>
  <c r="J52" i="1"/>
  <c r="T52" i="1" l="1"/>
  <c r="Q51" i="1"/>
  <c r="N51" i="1" l="1"/>
  <c r="J51" i="1"/>
  <c r="T51" i="1" l="1"/>
  <c r="Q49" i="1"/>
  <c r="N49" i="1" l="1"/>
  <c r="J49" i="1"/>
  <c r="T49" i="1" l="1"/>
  <c r="Q46" i="1"/>
  <c r="I46" i="1" a="1"/>
  <c r="I46" i="1" l="1"/>
  <c r="N46" i="1" l="1"/>
  <c r="J46" i="1"/>
  <c r="T46" i="1" l="1"/>
  <c r="S44" i="1"/>
  <c r="Q44" i="1"/>
  <c r="I44" i="1" a="1"/>
  <c r="I44" i="1" l="1"/>
  <c r="N44" i="1" l="1"/>
  <c r="J44" i="1"/>
  <c r="T44" i="1" l="1"/>
  <c r="S42" i="1"/>
  <c r="Q42" i="1"/>
  <c r="I42" i="1" a="1"/>
  <c r="I42" i="1" l="1"/>
  <c r="N42" i="1" l="1"/>
  <c r="J42" i="1"/>
  <c r="T42" i="1" l="1"/>
  <c r="Q40" i="1"/>
  <c r="N40" i="1" l="1"/>
  <c r="J40" i="1"/>
  <c r="T40" i="1" l="1"/>
  <c r="S38" i="1"/>
  <c r="Q38" i="1"/>
  <c r="N38" i="1" l="1"/>
  <c r="J38" i="1"/>
  <c r="T38" i="1" l="1"/>
  <c r="S37" i="1"/>
  <c r="Q37" i="1"/>
  <c r="N37" i="1" l="1"/>
  <c r="J37" i="1"/>
  <c r="T37" i="1" l="1"/>
  <c r="S36" i="1"/>
  <c r="Q36" i="1"/>
  <c r="N36" i="1" l="1"/>
  <c r="J36" i="1"/>
  <c r="T36" i="1" l="1"/>
  <c r="S35" i="1"/>
  <c r="Q35" i="1"/>
  <c r="N35" i="1" l="1"/>
  <c r="J35" i="1"/>
  <c r="T35" i="1" l="1"/>
  <c r="S34" i="1"/>
  <c r="Q34" i="1"/>
  <c r="I34" i="1" a="1"/>
  <c r="I34" i="1" l="1"/>
  <c r="N34" i="1" l="1"/>
  <c r="J34" i="1"/>
  <c r="T34" i="1" l="1"/>
  <c r="S31" i="1"/>
  <c r="Q31" i="1"/>
  <c r="I31" i="1" a="1"/>
  <c r="I31" i="1" l="1"/>
  <c r="N31" i="1" l="1"/>
  <c r="J31" i="1"/>
  <c r="T31" i="1" l="1"/>
  <c r="Q29" i="1"/>
  <c r="N29" i="1" l="1"/>
  <c r="J29" i="1"/>
  <c r="T29" i="1" l="1"/>
  <c r="S27" i="1"/>
  <c r="Q27" i="1"/>
  <c r="N27" i="1" l="1"/>
  <c r="J27" i="1"/>
  <c r="T27" i="1" l="1"/>
  <c r="Q25" i="1"/>
  <c r="I25" i="1" a="1"/>
  <c r="I25" i="1" l="1"/>
  <c r="N25" i="1" l="1"/>
  <c r="J25" i="1"/>
  <c r="T25" i="1" l="1"/>
  <c r="S24" i="1"/>
  <c r="Q24" i="1"/>
  <c r="N24" i="1" l="1"/>
  <c r="J24" i="1"/>
  <c r="T24" i="1" l="1"/>
  <c r="Q21" i="1"/>
  <c r="I21" i="1" a="1"/>
  <c r="I21" i="1" l="1"/>
  <c r="N21" i="1" l="1"/>
  <c r="J21" i="1"/>
  <c r="T21" i="1" l="1"/>
  <c r="Q15" i="1"/>
  <c r="N15" i="1" l="1"/>
  <c r="J15" i="1"/>
  <c r="T15" i="1" l="1"/>
  <c r="F15" i="1" l="1"/>
  <c r="Q14" i="1"/>
  <c r="I14" i="1" a="1"/>
  <c r="I14" i="1" l="1"/>
  <c r="N14" i="1" l="1"/>
  <c r="J14" i="1"/>
  <c r="T14" i="1" l="1"/>
  <c r="F14" i="1" l="1"/>
  <c r="S13" i="1"/>
  <c r="Q13" i="1"/>
  <c r="N13" i="1" l="1"/>
  <c r="J13" i="1"/>
  <c r="T13" i="1" l="1"/>
  <c r="F13" i="1" l="1"/>
  <c r="S12" i="1"/>
  <c r="Q12" i="1"/>
  <c r="N12" i="1" l="1"/>
  <c r="J12" i="1"/>
  <c r="T12" i="1" l="1"/>
  <c r="M10" i="1" l="1"/>
  <c r="F12" i="1"/>
  <c r="D10" i="1" l="1"/>
  <c r="M9" i="1" l="1"/>
  <c r="D9" i="1" l="1"/>
  <c r="M8" i="1" l="1"/>
  <c r="D8" i="1" l="1"/>
  <c r="AD7" i="1"/>
  <c r="P48" i="1" l="1"/>
  <c r="AH48" i="1"/>
  <c r="P18" i="1"/>
  <c r="AH18" i="1"/>
  <c r="BD7" i="2"/>
  <c r="BD6" i="2"/>
  <c r="V6" i="2"/>
  <c r="AK7" i="2"/>
  <c r="V7" i="2"/>
  <c r="AK6" i="2"/>
  <c r="AI6" i="2"/>
  <c r="AI7" i="2"/>
  <c r="W6" i="2"/>
  <c r="W7" i="2"/>
  <c r="P41" i="1"/>
  <c r="AD41" i="1" s="1"/>
  <c r="AH41" i="1"/>
  <c r="P20" i="1"/>
  <c r="P28" i="1"/>
  <c r="AD28" i="1" s="1"/>
  <c r="AH20" i="1"/>
  <c r="AH28" i="1"/>
  <c r="BD10" i="2"/>
  <c r="BD11" i="2"/>
  <c r="AI10" i="2"/>
  <c r="AI11" i="2"/>
  <c r="AK11" i="2"/>
  <c r="V11" i="2"/>
  <c r="AK10" i="2"/>
  <c r="V10" i="2"/>
  <c r="W10" i="2"/>
  <c r="W11" i="2"/>
  <c r="BD18" i="2"/>
  <c r="BD19" i="2"/>
  <c r="AI18" i="2"/>
  <c r="V18" i="2"/>
  <c r="V19" i="2"/>
  <c r="AK18" i="2"/>
  <c r="AK19" i="2"/>
  <c r="AI19" i="2"/>
  <c r="P55" i="1"/>
  <c r="AD55" i="1" s="1"/>
  <c r="W18" i="2"/>
  <c r="W19" i="2"/>
  <c r="AH55" i="1"/>
  <c r="P50" i="1"/>
  <c r="AD50" i="1" s="1"/>
  <c r="AH50" i="1"/>
  <c r="BD27" i="2"/>
  <c r="V27" i="2"/>
  <c r="AI27" i="2"/>
  <c r="AK27" i="2"/>
  <c r="W27" i="2"/>
  <c r="P30" i="1"/>
  <c r="AD30" i="1" s="1"/>
  <c r="AH30" i="1"/>
  <c r="P19" i="1"/>
  <c r="AH19" i="1"/>
  <c r="P17" i="1"/>
  <c r="AD17" i="1" s="1"/>
  <c r="P16" i="1"/>
  <c r="AD16" i="1" s="1"/>
  <c r="AH17" i="1"/>
  <c r="P26" i="1"/>
  <c r="AD26" i="1" s="1"/>
  <c r="AH26" i="1"/>
  <c r="P57" i="1"/>
  <c r="AH57" i="1"/>
  <c r="P59" i="1"/>
  <c r="AH59" i="1"/>
  <c r="P60" i="1"/>
  <c r="AH60" i="1"/>
  <c r="P23" i="1"/>
  <c r="AH23" i="1"/>
  <c r="BD29" i="2"/>
  <c r="AK29" i="2"/>
  <c r="V29" i="2"/>
  <c r="W29" i="2"/>
  <c r="AH16" i="1"/>
  <c r="BD30" i="2"/>
  <c r="V30" i="2"/>
  <c r="AK30" i="2"/>
  <c r="S17" i="1" s="1"/>
  <c r="AI30" i="2"/>
  <c r="W30" i="2"/>
  <c r="P53" i="1"/>
  <c r="AD53" i="1" s="1"/>
  <c r="AH53" i="1"/>
  <c r="P47" i="1"/>
  <c r="AD47" i="1" s="1"/>
  <c r="AH47" i="1"/>
  <c r="P45" i="1"/>
  <c r="AH45" i="1"/>
  <c r="P33" i="1"/>
  <c r="P32" i="1"/>
  <c r="AH33" i="1"/>
  <c r="AH32" i="1"/>
  <c r="P39" i="1"/>
  <c r="AH39" i="1"/>
  <c r="P22" i="1"/>
  <c r="AD22" i="1" s="1"/>
  <c r="AH22" i="1"/>
  <c r="P43" i="1"/>
  <c r="AH43" i="1"/>
  <c r="F67" i="54"/>
  <c r="F73" i="54"/>
  <c r="F72" i="54"/>
  <c r="J55" i="54"/>
  <c r="BD32" i="2"/>
  <c r="AK32" i="2"/>
  <c r="V32" i="2"/>
  <c r="AI32" i="2"/>
  <c r="W32" i="2"/>
  <c r="BD31" i="2"/>
  <c r="V31" i="2"/>
  <c r="AI31" i="2"/>
  <c r="AK31" i="2"/>
  <c r="BD28" i="2"/>
  <c r="W31" i="2"/>
  <c r="V28" i="2"/>
  <c r="AK28" i="2"/>
  <c r="W28" i="2"/>
  <c r="BD26" i="2"/>
  <c r="V26" i="2"/>
  <c r="AK26" i="2"/>
  <c r="AI26" i="2"/>
  <c r="W26" i="2"/>
  <c r="BD25" i="2"/>
  <c r="AK25" i="2"/>
  <c r="V25" i="2"/>
  <c r="AI25" i="2"/>
  <c r="W25" i="2"/>
  <c r="BD24" i="2"/>
  <c r="AK24" i="2"/>
  <c r="V24" i="2"/>
  <c r="AI24" i="2"/>
  <c r="W24" i="2"/>
  <c r="BD23" i="2"/>
  <c r="AK23" i="2"/>
  <c r="V23" i="2"/>
  <c r="W23" i="2"/>
  <c r="BD22" i="2"/>
  <c r="V22" i="2"/>
  <c r="AK22" i="2"/>
  <c r="W22" i="2"/>
  <c r="BD21" i="2"/>
  <c r="AK21" i="2"/>
  <c r="V21" i="2"/>
  <c r="AI21" i="2"/>
  <c r="W21" i="2"/>
  <c r="BD20" i="2"/>
  <c r="AK20" i="2"/>
  <c r="AI20" i="2"/>
  <c r="V20" i="2"/>
  <c r="W20" i="2"/>
  <c r="BD17" i="2"/>
  <c r="V17" i="2"/>
  <c r="AK17" i="2"/>
  <c r="W17" i="2"/>
  <c r="BD16" i="2"/>
  <c r="V16" i="2"/>
  <c r="AK16" i="2"/>
  <c r="W16" i="2"/>
  <c r="BD15" i="2"/>
  <c r="AK15" i="2"/>
  <c r="V15" i="2"/>
  <c r="W15" i="2"/>
  <c r="BD14" i="2"/>
  <c r="V14" i="2"/>
  <c r="AK14" i="2"/>
  <c r="W14" i="2"/>
  <c r="BD13" i="2"/>
  <c r="V13" i="2"/>
  <c r="AK13" i="2"/>
  <c r="AI13" i="2"/>
  <c r="W13" i="2"/>
  <c r="BD12" i="2"/>
  <c r="V12" i="2"/>
  <c r="AK12" i="2"/>
  <c r="AI12" i="2"/>
  <c r="W12" i="2"/>
  <c r="BD9" i="2"/>
  <c r="V9" i="2"/>
  <c r="AK9" i="2"/>
  <c r="W9" i="2"/>
  <c r="BD8" i="2"/>
  <c r="AK8" i="2"/>
  <c r="V8" i="2"/>
  <c r="AI8" i="2"/>
  <c r="W8" i="2"/>
  <c r="BD5" i="2"/>
  <c r="AK5" i="2"/>
  <c r="AI5" i="2"/>
  <c r="V5" i="2"/>
  <c r="W5" i="2"/>
  <c r="BD4" i="2"/>
  <c r="AK4" i="2"/>
  <c r="S14" i="1" s="1"/>
  <c r="V4" i="2"/>
  <c r="AI4" i="2"/>
  <c r="W4" i="2"/>
  <c r="P62" i="1"/>
  <c r="AH62" i="1"/>
  <c r="P61" i="1"/>
  <c r="AH61" i="1"/>
  <c r="P58" i="1"/>
  <c r="AH58" i="1"/>
  <c r="P56" i="1"/>
  <c r="AH56" i="1"/>
  <c r="P54" i="1"/>
  <c r="AH54" i="1"/>
  <c r="P52" i="1"/>
  <c r="AH52" i="1"/>
  <c r="P51" i="1"/>
  <c r="AH51" i="1"/>
  <c r="P49" i="1"/>
  <c r="AH49" i="1"/>
  <c r="P46" i="1"/>
  <c r="AH46" i="1"/>
  <c r="P44" i="1"/>
  <c r="AH44" i="1"/>
  <c r="P42" i="1"/>
  <c r="AH42" i="1"/>
  <c r="P40" i="1"/>
  <c r="AH40" i="1"/>
  <c r="P38" i="1"/>
  <c r="AH38" i="1"/>
  <c r="P37" i="1"/>
  <c r="AH37" i="1"/>
  <c r="P36" i="1"/>
  <c r="AH36" i="1"/>
  <c r="P35" i="1"/>
  <c r="AH35" i="1"/>
  <c r="P34" i="1"/>
  <c r="AH34" i="1"/>
  <c r="P31" i="1"/>
  <c r="AH31" i="1"/>
  <c r="P29" i="1"/>
  <c r="AH29" i="1"/>
  <c r="P27" i="1"/>
  <c r="AH27" i="1"/>
  <c r="P25" i="1"/>
  <c r="AH25" i="1"/>
  <c r="P24" i="1"/>
  <c r="AH24" i="1"/>
  <c r="P21" i="1"/>
  <c r="AH21" i="1"/>
  <c r="P15" i="1"/>
  <c r="AH15" i="1"/>
  <c r="P14" i="1"/>
  <c r="AH14" i="1"/>
  <c r="P13" i="1"/>
  <c r="AH13" i="1"/>
  <c r="P12" i="1"/>
  <c r="AH12" i="1"/>
  <c r="AH10" i="1" s="1"/>
  <c r="AD8" i="1"/>
  <c r="V18" i="1" l="1"/>
  <c r="AD18" i="1"/>
  <c r="AD48" i="1"/>
  <c r="V48" i="1"/>
  <c r="S40" i="1"/>
  <c r="V40" i="1" s="1"/>
  <c r="V41" i="1"/>
  <c r="V20" i="1"/>
  <c r="AD20" i="1"/>
  <c r="S28" i="1"/>
  <c r="V28" i="1" s="1"/>
  <c r="V55" i="1"/>
  <c r="V50" i="1"/>
  <c r="V30" i="1"/>
  <c r="AD19" i="1"/>
  <c r="V19" i="1"/>
  <c r="V17" i="1"/>
  <c r="V26" i="1"/>
  <c r="V57" i="1"/>
  <c r="AD57" i="1"/>
  <c r="AD59" i="1"/>
  <c r="V59" i="1"/>
  <c r="AD60" i="1"/>
  <c r="V60" i="1"/>
  <c r="AD23" i="1"/>
  <c r="V23" i="1"/>
  <c r="S15" i="1"/>
  <c r="V15" i="1" s="1"/>
  <c r="S16" i="1"/>
  <c r="V16" i="1" s="1"/>
  <c r="S52" i="1"/>
  <c r="V52" i="1" s="1"/>
  <c r="V53" i="1"/>
  <c r="S46" i="1"/>
  <c r="V46" i="1" s="1"/>
  <c r="V47" i="1"/>
  <c r="AD45" i="1"/>
  <c r="V45" i="1"/>
  <c r="V32" i="1"/>
  <c r="AD32" i="1"/>
  <c r="AD33" i="1"/>
  <c r="V33" i="1"/>
  <c r="V39" i="1"/>
  <c r="AD39" i="1"/>
  <c r="V22" i="1"/>
  <c r="V43" i="1"/>
  <c r="AD43" i="1"/>
  <c r="S49" i="1"/>
  <c r="V49" i="1" s="1"/>
  <c r="S51" i="1"/>
  <c r="V51" i="1" s="1"/>
  <c r="S25" i="1"/>
  <c r="V25" i="1" s="1"/>
  <c r="W1" i="2"/>
  <c r="V1" i="2"/>
  <c r="S54" i="1"/>
  <c r="V54" i="1" s="1"/>
  <c r="S29" i="1"/>
  <c r="V29" i="1" s="1"/>
  <c r="S21" i="1"/>
  <c r="M7" i="1"/>
  <c r="AD34" i="1"/>
  <c r="V34" i="1"/>
  <c r="AD35" i="1"/>
  <c r="V35" i="1"/>
  <c r="AD49" i="1"/>
  <c r="AD13" i="1"/>
  <c r="V13" i="1"/>
  <c r="AD36" i="1"/>
  <c r="V36" i="1"/>
  <c r="AD15" i="1"/>
  <c r="AD37" i="1"/>
  <c r="V37" i="1"/>
  <c r="AD56" i="1"/>
  <c r="V56" i="1"/>
  <c r="AD31" i="1"/>
  <c r="V31" i="1"/>
  <c r="AD14" i="1"/>
  <c r="V14" i="1"/>
  <c r="AD54" i="1"/>
  <c r="AD61" i="1"/>
  <c r="V61" i="1"/>
  <c r="AD51" i="1"/>
  <c r="AD21" i="1"/>
  <c r="AD62" i="1"/>
  <c r="V62" i="1"/>
  <c r="AD12" i="1"/>
  <c r="V12" i="1"/>
  <c r="P10" i="1"/>
  <c r="P7" i="1"/>
  <c r="AD38" i="1"/>
  <c r="V38" i="1"/>
  <c r="AD24" i="1"/>
  <c r="V24" i="1"/>
  <c r="AD25" i="1"/>
  <c r="AD44" i="1"/>
  <c r="V44" i="1"/>
  <c r="AI1" i="2"/>
  <c r="AD58" i="1"/>
  <c r="V58" i="1"/>
  <c r="AD27" i="1"/>
  <c r="V27" i="1"/>
  <c r="AD52" i="1"/>
  <c r="AD40" i="1"/>
  <c r="AD42" i="1"/>
  <c r="V42" i="1"/>
  <c r="AD29" i="1"/>
  <c r="AD46" i="1"/>
  <c r="AJ7" i="2" l="1"/>
  <c r="AJ6" i="2"/>
  <c r="AJ11" i="2"/>
  <c r="AJ10" i="2"/>
  <c r="AJ19" i="2"/>
  <c r="AJ18" i="2"/>
  <c r="AJ27" i="2"/>
  <c r="T2" i="1"/>
  <c r="T1" i="1"/>
  <c r="AJ22" i="2"/>
  <c r="AJ30" i="2"/>
  <c r="S10" i="1"/>
  <c r="V21" i="1"/>
  <c r="V1" i="1" s="1"/>
  <c r="AD10" i="1"/>
  <c r="S7" i="1"/>
  <c r="AJ12" i="2"/>
  <c r="AJ23" i="2"/>
  <c r="AJ4" i="2"/>
  <c r="AJ32" i="2"/>
  <c r="AJ16" i="2"/>
  <c r="AJ25" i="2"/>
  <c r="AJ9" i="2"/>
  <c r="AJ24" i="2"/>
  <c r="AJ21" i="2"/>
  <c r="AJ5" i="2"/>
  <c r="AJ20" i="2"/>
  <c r="AJ14" i="2"/>
  <c r="AJ17" i="2"/>
  <c r="AJ13" i="2"/>
  <c r="AJ8" i="2"/>
  <c r="AJ15" i="2"/>
  <c r="AJ26" i="2"/>
  <c r="AJ31" i="2"/>
  <c r="T3" i="1" l="1"/>
  <c r="D7" i="1"/>
  <c r="AE6" i="1"/>
  <c r="V6" i="1"/>
  <c r="S6" i="1"/>
  <c r="P6" i="1"/>
  <c r="M6" i="1" l="1"/>
  <c r="D6" i="1" l="1"/>
  <c r="AE5" i="1"/>
  <c r="V5" i="1"/>
  <c r="V7" i="1" s="1"/>
  <c r="S5" i="1"/>
  <c r="P5" i="1"/>
  <c r="AD154" i="89" l="1"/>
  <c r="X154" i="89"/>
  <c r="V10" i="1"/>
  <c r="B1" i="2" s="1"/>
  <c r="X237" i="89"/>
  <c r="AD237" i="89"/>
  <c r="X236" i="89"/>
  <c r="AD236" i="89"/>
  <c r="X235" i="89"/>
  <c r="AD235" i="89"/>
  <c r="X234" i="89"/>
  <c r="AD234" i="89"/>
  <c r="X233" i="89"/>
  <c r="AD233" i="89"/>
  <c r="X225" i="89"/>
  <c r="AD225" i="89"/>
  <c r="X224" i="89"/>
  <c r="AD224" i="89"/>
  <c r="X223" i="89"/>
  <c r="AD223" i="89"/>
  <c r="AD226" i="89" s="1"/>
  <c r="X222" i="89"/>
  <c r="AD222" i="89"/>
  <c r="X213" i="89"/>
  <c r="AD213" i="89"/>
  <c r="X212" i="89"/>
  <c r="AD212" i="89"/>
  <c r="AD215" i="89" s="1"/>
  <c r="AD211" i="89"/>
  <c r="X211" i="89"/>
  <c r="X205" i="89"/>
  <c r="AD205" i="89"/>
  <c r="X204" i="89"/>
  <c r="AD204" i="89"/>
  <c r="AD206" i="89" s="1"/>
  <c r="X197" i="89"/>
  <c r="AD197" i="89"/>
  <c r="X196" i="89"/>
  <c r="AD196" i="89"/>
  <c r="AD198" i="89" s="1"/>
  <c r="X195" i="89"/>
  <c r="AD195" i="89"/>
  <c r="X188" i="89"/>
  <c r="AD188" i="89"/>
  <c r="X187" i="89"/>
  <c r="AD187" i="89"/>
  <c r="AD189" i="89" s="1"/>
  <c r="X186" i="89"/>
  <c r="AD186" i="89"/>
  <c r="X180" i="89"/>
  <c r="AD180" i="89"/>
  <c r="X179" i="89"/>
  <c r="AD179" i="89"/>
  <c r="AD181" i="89" s="1"/>
  <c r="X178" i="89"/>
  <c r="AD178" i="89"/>
  <c r="AD171" i="89"/>
  <c r="X171" i="89"/>
  <c r="AD170" i="89"/>
  <c r="AD172" i="89" s="1"/>
  <c r="X170" i="89"/>
  <c r="X169" i="89"/>
  <c r="AD169" i="89"/>
  <c r="X160" i="89"/>
  <c r="X162" i="89" s="1"/>
  <c r="AD160" i="89"/>
  <c r="AD162" i="89" s="1"/>
  <c r="X153" i="89"/>
  <c r="AD153" i="89"/>
  <c r="AD155" i="89" s="1"/>
  <c r="X145" i="89"/>
  <c r="AD145" i="89"/>
  <c r="X144" i="89"/>
  <c r="AD144" i="89"/>
  <c r="AD146" i="89" s="1"/>
  <c r="X138" i="89"/>
  <c r="AD138" i="89"/>
  <c r="X137" i="89"/>
  <c r="AD137" i="89"/>
  <c r="AD139" i="89" s="1"/>
  <c r="X136" i="89"/>
  <c r="AD136" i="89"/>
  <c r="AD129" i="89"/>
  <c r="AD131" i="89" s="1"/>
  <c r="X129" i="89"/>
  <c r="X131" i="89" s="1"/>
  <c r="X123" i="89"/>
  <c r="AD123" i="89"/>
  <c r="X122" i="89"/>
  <c r="X124" i="89" s="1"/>
  <c r="AD122" i="89"/>
  <c r="AD124" i="89" s="1"/>
  <c r="X116" i="89"/>
  <c r="AD116" i="89"/>
  <c r="X115" i="89"/>
  <c r="AD115" i="89"/>
  <c r="AD117" i="89" s="1"/>
  <c r="X109" i="89"/>
  <c r="AD109" i="89"/>
  <c r="X108" i="89"/>
  <c r="AD108" i="89"/>
  <c r="AD110" i="89" s="1"/>
  <c r="X102" i="89"/>
  <c r="AD102" i="89"/>
  <c r="AD101" i="89"/>
  <c r="AD103" i="89" s="1"/>
  <c r="X101" i="89"/>
  <c r="X96" i="89"/>
  <c r="AD96" i="89"/>
  <c r="X95" i="89"/>
  <c r="AD95" i="89"/>
  <c r="AD97" i="89" s="1"/>
  <c r="X90" i="89"/>
  <c r="AD90" i="89"/>
  <c r="X89" i="89"/>
  <c r="AD89" i="89"/>
  <c r="AD91" i="89" s="1"/>
  <c r="X82" i="89"/>
  <c r="AD82" i="89"/>
  <c r="X81" i="89"/>
  <c r="AD81" i="89"/>
  <c r="AD83" i="89" s="1"/>
  <c r="X76" i="89"/>
  <c r="AD76" i="89"/>
  <c r="AD75" i="89"/>
  <c r="AD77" i="89" s="1"/>
  <c r="X75" i="89"/>
  <c r="X69" i="89"/>
  <c r="AD69" i="89"/>
  <c r="X68" i="89"/>
  <c r="AD68" i="89"/>
  <c r="AD70" i="89" s="1"/>
  <c r="X63" i="89"/>
  <c r="AD63" i="89"/>
  <c r="X62" i="89"/>
  <c r="AD62" i="89"/>
  <c r="AD64" i="89" s="1"/>
  <c r="X56" i="89"/>
  <c r="AD56" i="89"/>
  <c r="X55" i="89"/>
  <c r="AD55" i="89"/>
  <c r="AD57" i="89" s="1"/>
  <c r="X50" i="89"/>
  <c r="AD50" i="89"/>
  <c r="X49" i="89"/>
  <c r="AD49" i="89"/>
  <c r="AD51" i="89" s="1"/>
  <c r="X40" i="89"/>
  <c r="AD40" i="89"/>
  <c r="X39" i="89"/>
  <c r="AD39" i="89"/>
  <c r="AD41" i="89" s="1"/>
  <c r="X34" i="89"/>
  <c r="AD34" i="89"/>
  <c r="X33" i="89"/>
  <c r="AD33" i="89"/>
  <c r="AD35" i="89" s="1"/>
  <c r="X27" i="89"/>
  <c r="AD27" i="89"/>
  <c r="X26" i="89"/>
  <c r="AD26" i="89"/>
  <c r="AD28" i="89" s="1"/>
  <c r="X20" i="89"/>
  <c r="AD20" i="89"/>
  <c r="AD19" i="89"/>
  <c r="AD21" i="89" s="1"/>
  <c r="X19" i="89"/>
  <c r="X14" i="89"/>
  <c r="AD14" i="89"/>
  <c r="X13" i="89"/>
  <c r="AD13" i="89"/>
  <c r="AD15" i="89" s="1"/>
  <c r="X8" i="89"/>
  <c r="AD8" i="89"/>
  <c r="AD7" i="89"/>
  <c r="AD9" i="89" s="1"/>
  <c r="X7" i="89"/>
  <c r="AE7" i="1"/>
  <c r="K1" i="2"/>
  <c r="R18" i="1" l="1"/>
  <c r="O48" i="1"/>
  <c r="U48" i="1"/>
  <c r="O18" i="1"/>
  <c r="U18" i="1"/>
  <c r="AH7" i="2"/>
  <c r="AG6" i="2"/>
  <c r="AG7" i="2"/>
  <c r="AH6" i="2"/>
  <c r="O41" i="1"/>
  <c r="U41" i="1"/>
  <c r="X91" i="89"/>
  <c r="O20" i="1"/>
  <c r="O28" i="1"/>
  <c r="U20" i="1"/>
  <c r="R28" i="1"/>
  <c r="U28" i="1"/>
  <c r="AH10" i="2"/>
  <c r="AG10" i="2"/>
  <c r="AH11" i="2"/>
  <c r="AG11" i="2"/>
  <c r="O55" i="1"/>
  <c r="AH18" i="2"/>
  <c r="AG19" i="2"/>
  <c r="AG18" i="2"/>
  <c r="AH19" i="2"/>
  <c r="U55" i="1"/>
  <c r="O50" i="1"/>
  <c r="U50" i="1"/>
  <c r="AH27" i="2"/>
  <c r="O30" i="1"/>
  <c r="AG27" i="2"/>
  <c r="U30" i="1"/>
  <c r="O19" i="1"/>
  <c r="U19" i="1"/>
  <c r="O17" i="1"/>
  <c r="O16" i="1"/>
  <c r="R17" i="1"/>
  <c r="U17" i="1"/>
  <c r="O26" i="1"/>
  <c r="U26" i="1"/>
  <c r="O57" i="1"/>
  <c r="U57" i="1"/>
  <c r="R59" i="1"/>
  <c r="O59" i="1"/>
  <c r="U59" i="1"/>
  <c r="R60" i="1"/>
  <c r="O60" i="1"/>
  <c r="U60" i="1"/>
  <c r="O23" i="1"/>
  <c r="U23" i="1"/>
  <c r="AH29" i="2"/>
  <c r="AG29" i="2"/>
  <c r="R16" i="1"/>
  <c r="U16" i="1"/>
  <c r="X155" i="89"/>
  <c r="X97" i="89"/>
  <c r="AG30" i="2"/>
  <c r="AH30" i="2"/>
  <c r="O53" i="1"/>
  <c r="U53" i="1"/>
  <c r="O47" i="1"/>
  <c r="U47" i="1"/>
  <c r="O45" i="1"/>
  <c r="U45" i="1"/>
  <c r="X117" i="89"/>
  <c r="X103" i="89"/>
  <c r="O33" i="1"/>
  <c r="O32" i="1"/>
  <c r="U32" i="1"/>
  <c r="U33" i="1"/>
  <c r="O39" i="1"/>
  <c r="U39" i="1"/>
  <c r="O22" i="1"/>
  <c r="U22" i="1"/>
  <c r="O43" i="1"/>
  <c r="U43" i="1"/>
  <c r="X57" i="89"/>
  <c r="X15" i="89"/>
  <c r="X83" i="89"/>
  <c r="X28" i="89"/>
  <c r="X35" i="89"/>
  <c r="X64" i="89"/>
  <c r="X70" i="89"/>
  <c r="X21" i="89"/>
  <c r="X51" i="89"/>
  <c r="X110" i="89"/>
  <c r="X146" i="89"/>
  <c r="X9" i="89"/>
  <c r="X77" i="89"/>
  <c r="X41" i="89"/>
  <c r="M5" i="1"/>
  <c r="X226" i="89"/>
  <c r="X198" i="89"/>
  <c r="X200" i="89" s="1"/>
  <c r="X139" i="89"/>
  <c r="X215" i="89"/>
  <c r="X181" i="89"/>
  <c r="X206" i="89"/>
  <c r="X208" i="89" s="1"/>
  <c r="AG32" i="2"/>
  <c r="AH32" i="2"/>
  <c r="AG31" i="2"/>
  <c r="AH31" i="2"/>
  <c r="AG28" i="2"/>
  <c r="AH28" i="2"/>
  <c r="AG26" i="2"/>
  <c r="AH26" i="2"/>
  <c r="AG25" i="2"/>
  <c r="AH25" i="2"/>
  <c r="AG24" i="2"/>
  <c r="AH24" i="2"/>
  <c r="AG21" i="2"/>
  <c r="AH21" i="2"/>
  <c r="AG20" i="2"/>
  <c r="AH20" i="2"/>
  <c r="AG13" i="2"/>
  <c r="AH13" i="2"/>
  <c r="AG12" i="2"/>
  <c r="AH12" i="2"/>
  <c r="AG8" i="2"/>
  <c r="AH8" i="2"/>
  <c r="AG5" i="2"/>
  <c r="AH5" i="2"/>
  <c r="AG4" i="2"/>
  <c r="AH4" i="2"/>
  <c r="R62" i="1"/>
  <c r="O62" i="1"/>
  <c r="R61" i="1"/>
  <c r="U62" i="1"/>
  <c r="O61" i="1"/>
  <c r="R58" i="1"/>
  <c r="U61" i="1"/>
  <c r="O58" i="1"/>
  <c r="R56" i="1"/>
  <c r="U58" i="1"/>
  <c r="O56" i="1"/>
  <c r="R54" i="1"/>
  <c r="U56" i="1"/>
  <c r="O54" i="1"/>
  <c r="R52" i="1"/>
  <c r="U54" i="1"/>
  <c r="O52" i="1"/>
  <c r="R51" i="1"/>
  <c r="U52" i="1"/>
  <c r="O51" i="1"/>
  <c r="R49" i="1"/>
  <c r="U51" i="1"/>
  <c r="O49" i="1"/>
  <c r="R46" i="1"/>
  <c r="U49" i="1"/>
  <c r="O46" i="1"/>
  <c r="R44" i="1"/>
  <c r="U46" i="1"/>
  <c r="O44" i="1"/>
  <c r="U44" i="1"/>
  <c r="R42" i="1"/>
  <c r="O42" i="1"/>
  <c r="R40" i="1"/>
  <c r="U42" i="1"/>
  <c r="O40" i="1"/>
  <c r="R38" i="1"/>
  <c r="U40" i="1"/>
  <c r="O38" i="1"/>
  <c r="R37" i="1"/>
  <c r="U38" i="1"/>
  <c r="O37" i="1"/>
  <c r="R36" i="1"/>
  <c r="U37" i="1"/>
  <c r="O36" i="1"/>
  <c r="R35" i="1"/>
  <c r="U36" i="1"/>
  <c r="O35" i="1"/>
  <c r="R34" i="1"/>
  <c r="U35" i="1"/>
  <c r="O34" i="1"/>
  <c r="R31" i="1"/>
  <c r="U34" i="1"/>
  <c r="O31" i="1"/>
  <c r="R29" i="1"/>
  <c r="U31" i="1"/>
  <c r="O29" i="1"/>
  <c r="R27" i="1"/>
  <c r="U29" i="1"/>
  <c r="O27" i="1"/>
  <c r="R25" i="1"/>
  <c r="U27" i="1"/>
  <c r="O25" i="1"/>
  <c r="R24" i="1"/>
  <c r="U25" i="1"/>
  <c r="O24" i="1"/>
  <c r="R21" i="1"/>
  <c r="U24" i="1"/>
  <c r="O21" i="1"/>
  <c r="R15" i="1"/>
  <c r="U21" i="1"/>
  <c r="O15" i="1"/>
  <c r="U15" i="1"/>
  <c r="R14" i="1"/>
  <c r="O14" i="1"/>
  <c r="U14" i="1"/>
  <c r="R13" i="1"/>
  <c r="O13" i="1"/>
  <c r="U13" i="1"/>
  <c r="R12" i="1"/>
  <c r="W10" i="1"/>
  <c r="O12" i="1"/>
  <c r="U12" i="1"/>
  <c r="X189" i="89"/>
  <c r="X172" i="89"/>
  <c r="X12" i="89" s="1"/>
  <c r="AA18" i="1" l="1"/>
  <c r="Y18" i="1"/>
  <c r="Z18" i="1"/>
  <c r="AA48" i="1"/>
  <c r="Z48" i="1"/>
  <c r="Y48" i="1"/>
  <c r="W48" i="1"/>
  <c r="W18" i="1"/>
  <c r="AA41" i="1"/>
  <c r="Y41" i="1"/>
  <c r="Z41" i="1"/>
  <c r="W41" i="1"/>
  <c r="W20" i="1"/>
  <c r="Y20" i="1"/>
  <c r="AA20" i="1"/>
  <c r="Z20" i="1"/>
  <c r="W28" i="1"/>
  <c r="AA28" i="1"/>
  <c r="Y28" i="1"/>
  <c r="Z28" i="1"/>
  <c r="AA55" i="1"/>
  <c r="Z55" i="1"/>
  <c r="Y55" i="1"/>
  <c r="W55" i="1"/>
  <c r="AA50" i="1"/>
  <c r="Y50" i="1"/>
  <c r="Z50" i="1"/>
  <c r="W50" i="1"/>
  <c r="W30" i="1"/>
  <c r="AA30" i="1"/>
  <c r="Y30" i="1"/>
  <c r="Z30" i="1"/>
  <c r="W19" i="1"/>
  <c r="AA19" i="1"/>
  <c r="Y19" i="1"/>
  <c r="Z19" i="1"/>
  <c r="R2" i="1"/>
  <c r="S2" i="1" s="1"/>
  <c r="R1" i="1"/>
  <c r="AA17" i="1"/>
  <c r="Z17" i="1"/>
  <c r="Y17" i="1"/>
  <c r="W17" i="1"/>
  <c r="AA26" i="1"/>
  <c r="Y26" i="1"/>
  <c r="Z26" i="1"/>
  <c r="W26" i="1"/>
  <c r="W57" i="1"/>
  <c r="AA57" i="1"/>
  <c r="Y57" i="1"/>
  <c r="Z57" i="1"/>
  <c r="AA59" i="1"/>
  <c r="Z59" i="1"/>
  <c r="Y59" i="1"/>
  <c r="W59" i="1"/>
  <c r="Y60" i="1"/>
  <c r="Z60" i="1"/>
  <c r="AA60" i="1"/>
  <c r="W60" i="1"/>
  <c r="W23" i="1"/>
  <c r="AA23" i="1"/>
  <c r="Y23" i="1"/>
  <c r="Z23" i="1"/>
  <c r="AA16" i="1"/>
  <c r="Z16" i="1"/>
  <c r="Y16" i="1"/>
  <c r="W16" i="1"/>
  <c r="Y53" i="1"/>
  <c r="AA53" i="1"/>
  <c r="Z53" i="1"/>
  <c r="W53" i="1"/>
  <c r="W47" i="1"/>
  <c r="AA47" i="1"/>
  <c r="Y47" i="1"/>
  <c r="Z47" i="1"/>
  <c r="W45" i="1"/>
  <c r="AA45" i="1"/>
  <c r="Z45" i="1"/>
  <c r="Y45" i="1"/>
  <c r="AA33" i="1"/>
  <c r="Y33" i="1"/>
  <c r="Z33" i="1"/>
  <c r="AA32" i="1"/>
  <c r="Y32" i="1"/>
  <c r="Z32" i="1"/>
  <c r="W33" i="1"/>
  <c r="W32" i="1"/>
  <c r="W39" i="1"/>
  <c r="AA39" i="1"/>
  <c r="Y39" i="1"/>
  <c r="Z39" i="1"/>
  <c r="AA22" i="1"/>
  <c r="Y22" i="1"/>
  <c r="Z22" i="1"/>
  <c r="W22" i="1"/>
  <c r="W43" i="1"/>
  <c r="Y43" i="1"/>
  <c r="AA43" i="1"/>
  <c r="Z43" i="1"/>
  <c r="Z44" i="1"/>
  <c r="AA44" i="1"/>
  <c r="Y44" i="1"/>
  <c r="Z24" i="1"/>
  <c r="Y24" i="1"/>
  <c r="AA24" i="1"/>
  <c r="U5" i="1"/>
  <c r="AA36" i="1"/>
  <c r="Z36" i="1"/>
  <c r="Y36" i="1"/>
  <c r="AA21" i="1"/>
  <c r="Y21" i="1"/>
  <c r="Z21" i="1"/>
  <c r="U6" i="1"/>
  <c r="AA58" i="1"/>
  <c r="Z58" i="1"/>
  <c r="Y58" i="1"/>
  <c r="AA51" i="1"/>
  <c r="Z51" i="1"/>
  <c r="Y51" i="1"/>
  <c r="AA25" i="1"/>
  <c r="Z25" i="1"/>
  <c r="Y25" i="1"/>
  <c r="Z12" i="1"/>
  <c r="AA12" i="1"/>
  <c r="Y12" i="1"/>
  <c r="AA27" i="1"/>
  <c r="Z27" i="1"/>
  <c r="Y27" i="1"/>
  <c r="AA38" i="1"/>
  <c r="Y38" i="1"/>
  <c r="Z38" i="1"/>
  <c r="Z40" i="1"/>
  <c r="AA40" i="1"/>
  <c r="Y40" i="1"/>
  <c r="AA54" i="1"/>
  <c r="Y54" i="1"/>
  <c r="Z54" i="1"/>
  <c r="Y35" i="1"/>
  <c r="AA35" i="1"/>
  <c r="Z35" i="1"/>
  <c r="AA46" i="1"/>
  <c r="Y46" i="1"/>
  <c r="Z46" i="1"/>
  <c r="O6" i="1"/>
  <c r="O5" i="1"/>
  <c r="AA29" i="1"/>
  <c r="Z29" i="1"/>
  <c r="Y29" i="1"/>
  <c r="AA31" i="1"/>
  <c r="Z31" i="1"/>
  <c r="Y31" i="1"/>
  <c r="AA61" i="1"/>
  <c r="Z61" i="1"/>
  <c r="Y61" i="1"/>
  <c r="Y49" i="1"/>
  <c r="AA49" i="1"/>
  <c r="Z49" i="1"/>
  <c r="AA62" i="1"/>
  <c r="Z62" i="1"/>
  <c r="Y62" i="1"/>
  <c r="W62" i="1"/>
  <c r="W61" i="1"/>
  <c r="W58" i="1"/>
  <c r="W56" i="1"/>
  <c r="W54" i="1"/>
  <c r="W52" i="1"/>
  <c r="W51" i="1"/>
  <c r="W49" i="1"/>
  <c r="W46" i="1"/>
  <c r="W44" i="1"/>
  <c r="W42" i="1"/>
  <c r="W40" i="1"/>
  <c r="W38" i="1"/>
  <c r="W37" i="1"/>
  <c r="W36" i="1"/>
  <c r="W35" i="1"/>
  <c r="W34" i="1"/>
  <c r="W31" i="1"/>
  <c r="W29" i="1"/>
  <c r="W27" i="1"/>
  <c r="W25" i="1"/>
  <c r="W24" i="1"/>
  <c r="W21" i="1"/>
  <c r="W15" i="1"/>
  <c r="W14" i="1"/>
  <c r="W13" i="1"/>
  <c r="W12" i="1"/>
  <c r="AA42" i="1"/>
  <c r="Z42" i="1"/>
  <c r="Y42" i="1"/>
  <c r="Z56" i="1"/>
  <c r="AA56" i="1"/>
  <c r="Y56" i="1"/>
  <c r="AA37" i="1"/>
  <c r="Z37" i="1"/>
  <c r="Y37" i="1"/>
  <c r="R6" i="1"/>
  <c r="R5" i="1"/>
  <c r="AA52" i="1"/>
  <c r="Z52" i="1"/>
  <c r="Y52" i="1"/>
  <c r="AA13" i="1"/>
  <c r="Z13" i="1"/>
  <c r="Y13" i="1"/>
  <c r="Y14" i="1"/>
  <c r="Z14" i="1"/>
  <c r="AA14" i="1"/>
  <c r="AA15" i="1"/>
  <c r="Z15" i="1"/>
  <c r="Y15" i="1"/>
  <c r="AA34" i="1"/>
  <c r="Z34" i="1"/>
  <c r="Y34" i="1"/>
  <c r="R3" i="1" l="1"/>
  <c r="S3" i="1" s="1"/>
  <c r="P3" i="1" s="1"/>
  <c r="AA6" i="1"/>
  <c r="AB6" i="1" s="1"/>
  <c r="AA5" i="1"/>
  <c r="Z10" i="1"/>
  <c r="D5" i="1"/>
  <c r="U8" i="1"/>
  <c r="U7" i="1"/>
  <c r="W5" i="1"/>
  <c r="R8" i="1"/>
  <c r="R7" i="1"/>
  <c r="W6" i="1"/>
  <c r="O8" i="1"/>
  <c r="O7" i="1"/>
  <c r="AA8" i="1" l="1"/>
  <c r="AB5" i="1"/>
  <c r="AA7" i="1"/>
  <c r="AA10" i="1" s="1"/>
  <c r="U10" i="1"/>
  <c r="W7" i="1"/>
  <c r="M4" i="1" l="1"/>
  <c r="D4" i="1" l="1"/>
  <c r="X6" i="1" l="1"/>
  <c r="Y6" i="1" s="1"/>
  <c r="Z5" i="1"/>
  <c r="Z6" i="1"/>
  <c r="X5" i="1"/>
  <c r="Y5" i="1" s="1"/>
  <c r="AD3" i="1"/>
  <c r="U3" i="1"/>
  <c r="Y7" i="1" l="1"/>
  <c r="Z7" i="1"/>
  <c r="M3" i="1" l="1"/>
  <c r="D3" i="1" l="1"/>
  <c r="W2" i="1" l="1"/>
  <c r="M2" i="1" l="1"/>
  <c r="D2" i="1" l="1"/>
  <c r="S1" i="1" l="1"/>
  <c r="P1" i="1" s="1"/>
  <c r="M1" i="1"/>
  <c r="D1" i="1" l="1"/>
  <c r="A11" i="24"/>
  <c r="B10" i="24"/>
  <c r="C8" i="24"/>
  <c r="C9" i="24" s="1"/>
  <c r="F7" i="24"/>
  <c r="F6" i="24"/>
  <c r="C6" i="24"/>
  <c r="F5" i="24"/>
  <c r="C5" i="24"/>
  <c r="F4" i="24"/>
  <c r="C4" i="24"/>
  <c r="AA10" i="528" l="1"/>
  <c r="Y10" i="528"/>
  <c r="W10" i="528"/>
  <c r="Q10" i="528"/>
  <c r="O10" i="528"/>
  <c r="M10" i="528"/>
  <c r="G10" i="528"/>
  <c r="E10" i="528"/>
  <c r="AA9" i="528"/>
  <c r="Y9" i="528"/>
  <c r="W9" i="528"/>
  <c r="Q9" i="528"/>
  <c r="O9" i="528"/>
  <c r="M9" i="528"/>
  <c r="G9" i="528"/>
  <c r="E9" i="528"/>
  <c r="AA8" i="528"/>
  <c r="Y8" i="528"/>
  <c r="W8" i="528"/>
  <c r="Q8" i="528"/>
  <c r="O8" i="528"/>
  <c r="M8" i="528"/>
  <c r="G8" i="528"/>
  <c r="E8" i="528"/>
  <c r="AA7" i="528"/>
  <c r="Y7" i="528"/>
  <c r="W7" i="528"/>
  <c r="Q7" i="528"/>
  <c r="O7" i="528"/>
  <c r="M7" i="528"/>
  <c r="G7" i="528"/>
  <c r="E7" i="528"/>
  <c r="K10" i="529"/>
  <c r="M10" i="529" s="1"/>
  <c r="M9" i="529"/>
  <c r="K9" i="529"/>
  <c r="M8" i="529"/>
  <c r="K8" i="529"/>
  <c r="M6" i="529"/>
  <c r="K6" i="529"/>
  <c r="K5" i="529"/>
  <c r="M5" i="529" s="1"/>
  <c r="I66" i="531"/>
  <c r="I58" i="531"/>
  <c r="I61" i="531" s="1"/>
  <c r="T45" i="531"/>
  <c r="S45" i="531"/>
  <c r="R45" i="531"/>
  <c r="Q45" i="531"/>
  <c r="P45" i="531"/>
  <c r="AC43" i="531"/>
  <c r="AA43" i="531"/>
  <c r="Y43" i="531"/>
  <c r="W43" i="531"/>
  <c r="L42" i="531"/>
  <c r="L41" i="531" s="1"/>
  <c r="K42" i="531"/>
  <c r="J42" i="531"/>
  <c r="I42" i="531"/>
  <c r="H42" i="531"/>
  <c r="T40" i="531"/>
  <c r="S40" i="531"/>
  <c r="R40" i="531"/>
  <c r="Q40" i="531"/>
  <c r="P40" i="531"/>
  <c r="T30" i="531"/>
  <c r="S30" i="531"/>
  <c r="R30" i="531"/>
  <c r="Q30" i="531"/>
  <c r="P30" i="531"/>
  <c r="AC28" i="531"/>
  <c r="AA28" i="531"/>
  <c r="Y28" i="531"/>
  <c r="W28" i="531"/>
  <c r="L27" i="531"/>
  <c r="L26" i="531" s="1"/>
  <c r="K27" i="531"/>
  <c r="I34" i="531" s="1"/>
  <c r="J27" i="531"/>
  <c r="I27" i="531"/>
  <c r="P31" i="531" s="1"/>
  <c r="P32" i="531" s="1"/>
  <c r="H27" i="531"/>
  <c r="T21" i="531"/>
  <c r="T22" i="531" s="1"/>
  <c r="S21" i="531"/>
  <c r="S22" i="531" s="1"/>
  <c r="R21" i="531"/>
  <c r="R22" i="531" s="1"/>
  <c r="T20" i="531"/>
  <c r="S20" i="531"/>
  <c r="R20" i="531"/>
  <c r="Q20" i="531"/>
  <c r="P20" i="531"/>
  <c r="AC18" i="531"/>
  <c r="AA18" i="531"/>
  <c r="Y18" i="531"/>
  <c r="W18" i="531"/>
  <c r="L17" i="531"/>
  <c r="K17" i="531"/>
  <c r="I24" i="531" s="1"/>
  <c r="J17" i="531"/>
  <c r="I17" i="531"/>
  <c r="Q21" i="531" s="1"/>
  <c r="Q22" i="531" s="1"/>
  <c r="H17" i="531"/>
  <c r="L16" i="531"/>
  <c r="T14" i="531"/>
  <c r="S14" i="531"/>
  <c r="R14" i="531"/>
  <c r="Q14" i="531"/>
  <c r="P14" i="531"/>
  <c r="AC10" i="531"/>
  <c r="AA10" i="531"/>
  <c r="Y10" i="531"/>
  <c r="W10" i="531"/>
  <c r="L8" i="531"/>
  <c r="K8" i="531"/>
  <c r="J8" i="531"/>
  <c r="I8" i="531"/>
  <c r="H8" i="531"/>
  <c r="F8" i="531"/>
  <c r="Q48" i="446"/>
  <c r="Q47" i="446"/>
  <c r="Q46" i="446"/>
  <c r="Q45" i="446"/>
  <c r="S46" i="531" l="1"/>
  <c r="S47" i="531" s="1"/>
  <c r="T46" i="531"/>
  <c r="T47" i="531" s="1"/>
  <c r="P46" i="531"/>
  <c r="P47" i="531" s="1"/>
  <c r="Q31" i="531"/>
  <c r="Q32" i="531" s="1"/>
  <c r="Q46" i="531"/>
  <c r="Q47" i="531" s="1"/>
  <c r="R31" i="531"/>
  <c r="R32" i="531" s="1"/>
  <c r="R34" i="531" s="1"/>
  <c r="R46" i="531"/>
  <c r="R47" i="531" s="1"/>
  <c r="R51" i="531" s="1"/>
  <c r="S31" i="531"/>
  <c r="S32" i="531" s="1"/>
  <c r="S34" i="531" s="1"/>
  <c r="T31" i="531"/>
  <c r="T32" i="531" s="1"/>
  <c r="T34" i="531" s="1"/>
  <c r="P21" i="531"/>
  <c r="P22" i="531" s="1"/>
  <c r="P36" i="531" s="1"/>
  <c r="R24" i="531"/>
  <c r="R36" i="531"/>
  <c r="T24" i="531"/>
  <c r="Q34" i="531"/>
  <c r="S36" i="531"/>
  <c r="S24" i="531"/>
  <c r="P34" i="531"/>
  <c r="Q51" i="531"/>
  <c r="Q49" i="531"/>
  <c r="S51" i="531"/>
  <c r="S49" i="531"/>
  <c r="T51" i="531"/>
  <c r="T49" i="531"/>
  <c r="P51" i="531"/>
  <c r="P49" i="531"/>
  <c r="Q24" i="531"/>
  <c r="Q36" i="531"/>
  <c r="I59" i="531"/>
  <c r="I60" i="531"/>
  <c r="T36" i="531" l="1"/>
  <c r="P24" i="531"/>
  <c r="R49" i="531"/>
  <c r="Q43" i="446"/>
  <c r="Q42" i="446" l="1"/>
  <c r="Q39" i="446" l="1"/>
  <c r="AI14" i="446" l="1"/>
  <c r="AH14" i="446"/>
  <c r="AD14" i="446"/>
  <c r="W14" i="446"/>
  <c r="V14" i="446"/>
  <c r="AA13" i="446" l="1"/>
  <c r="Z13" i="446"/>
  <c r="AB13" i="446" s="1"/>
  <c r="L13" i="446" a="1"/>
  <c r="L13" i="446" l="1"/>
  <c r="M13" i="446" s="1"/>
  <c r="AE13" i="446"/>
  <c r="AA12" i="446" l="1"/>
  <c r="Z12" i="446"/>
  <c r="AB12" i="446" s="1"/>
  <c r="L12" i="446" a="1"/>
  <c r="L12" i="446" l="1"/>
  <c r="M12" i="446" s="1"/>
  <c r="AE12" i="446"/>
  <c r="AA11" i="446" l="1"/>
  <c r="Z11" i="446"/>
  <c r="AB11" i="446" s="1"/>
  <c r="L11" i="446" a="1"/>
  <c r="L11" i="446" l="1"/>
  <c r="M11" i="446" s="1"/>
  <c r="AE11" i="446"/>
  <c r="AA10" i="446" l="1"/>
  <c r="Z10" i="446"/>
  <c r="AB10" i="446" s="1"/>
  <c r="L10" i="446" a="1"/>
  <c r="L10" i="446" l="1"/>
  <c r="M10" i="446" s="1"/>
  <c r="AE10" i="446"/>
  <c r="AA9" i="446" l="1"/>
  <c r="Z9" i="446"/>
  <c r="AB9" i="446" s="1"/>
  <c r="L9" i="446" a="1"/>
  <c r="L9" i="446" l="1"/>
  <c r="M9" i="446" s="1"/>
  <c r="AE9" i="446"/>
  <c r="AA8" i="446" l="1"/>
  <c r="Z8" i="446"/>
  <c r="AB8" i="446" s="1"/>
  <c r="L8" i="446" a="1"/>
  <c r="L8" i="446" l="1"/>
  <c r="M8" i="446" s="1"/>
  <c r="AE8" i="446"/>
  <c r="AA7" i="446" l="1"/>
  <c r="Z7" i="446"/>
  <c r="AB7" i="446" s="1"/>
  <c r="L7" i="446" a="1"/>
  <c r="L7" i="446" l="1"/>
  <c r="M7" i="446" s="1"/>
  <c r="AE7" i="446"/>
  <c r="AG6" i="446" l="1"/>
  <c r="AA6" i="446"/>
  <c r="Z6" i="446"/>
  <c r="AB6" i="446" s="1"/>
  <c r="L6" i="446" a="1"/>
  <c r="L6" i="446" l="1"/>
  <c r="M6" i="446" s="1"/>
  <c r="AA5" i="446" l="1"/>
  <c r="Z5" i="446"/>
  <c r="AB5" i="446" s="1"/>
  <c r="L5" i="446" a="1"/>
  <c r="L5" i="446" l="1"/>
  <c r="M5" i="446" s="1"/>
  <c r="AE5" i="446"/>
  <c r="AA4" i="446" l="1"/>
  <c r="AA14" i="446" s="1"/>
  <c r="Z4" i="446"/>
  <c r="Z14" i="446" s="1"/>
  <c r="AB2" i="446"/>
  <c r="AU55" i="338"/>
  <c r="AS55" i="338"/>
  <c r="AR55" i="338"/>
  <c r="AP55" i="338"/>
  <c r="AN55" i="338"/>
  <c r="AM55" i="338"/>
  <c r="AB4" i="446" l="1"/>
  <c r="AB14" i="446" l="1"/>
  <c r="AE4" i="446"/>
  <c r="X4" i="446"/>
  <c r="AG4" i="446" l="1"/>
  <c r="X13" i="446"/>
  <c r="AG13" i="446" s="1"/>
  <c r="X12" i="446"/>
  <c r="AG12" i="446" s="1"/>
  <c r="X11" i="446"/>
  <c r="AG11" i="446" s="1"/>
  <c r="X10" i="446"/>
  <c r="AG10" i="446" s="1"/>
  <c r="X9" i="446"/>
  <c r="AG9" i="446" s="1"/>
  <c r="X8" i="446"/>
  <c r="AG8" i="446" s="1"/>
  <c r="X7" i="446"/>
  <c r="AG7" i="446" s="1"/>
  <c r="X5" i="446"/>
  <c r="AG5" i="446" s="1"/>
  <c r="AG14" i="446" l="1"/>
  <c r="X14" i="446"/>
  <c r="AG55" i="338"/>
  <c r="AF55" i="338"/>
  <c r="O55" i="338" l="1"/>
  <c r="I55" i="338" a="1"/>
  <c r="I55" i="338" l="1"/>
  <c r="AT55" i="338" l="1"/>
  <c r="G55" i="338" a="1"/>
  <c r="G55" i="338" l="1"/>
  <c r="AO55" i="338" l="1"/>
  <c r="K55" i="338"/>
  <c r="U55" i="338" a="1"/>
  <c r="L55" i="338" a="1"/>
  <c r="V55" i="338" a="1"/>
  <c r="V55" i="338" l="1"/>
  <c r="L55" i="338"/>
  <c r="U55" i="338"/>
  <c r="AD55" i="338"/>
  <c r="AB55" i="338"/>
  <c r="Z55" i="338"/>
  <c r="I54" i="338" a="1"/>
  <c r="N55" i="338" l="1"/>
  <c r="I54" i="338"/>
  <c r="J54" i="338" a="1"/>
  <c r="G54" i="338" a="1"/>
  <c r="J54" i="338" l="1"/>
  <c r="G54" i="338"/>
  <c r="A54" i="338"/>
  <c r="H54" i="338" a="1"/>
  <c r="H54" i="338" l="1"/>
  <c r="O54" i="338"/>
  <c r="K54" i="338"/>
  <c r="L54" i="338" a="1"/>
  <c r="V54" i="338" a="1"/>
  <c r="U54" i="338" a="1"/>
  <c r="U54" i="338" l="1"/>
  <c r="V54" i="338"/>
  <c r="L54" i="338"/>
  <c r="AD54" i="338"/>
  <c r="AB54" i="338"/>
  <c r="Z54" i="338"/>
  <c r="I53" i="338" a="1"/>
  <c r="N54" i="338" l="1"/>
  <c r="I53" i="338"/>
  <c r="J53" i="338" a="1"/>
  <c r="G53" i="338" a="1"/>
  <c r="J53" i="338" l="1"/>
  <c r="G53" i="338"/>
  <c r="A53" i="338"/>
  <c r="H53" i="338" a="1"/>
  <c r="H53" i="338" l="1"/>
  <c r="O53" i="338"/>
  <c r="K53" i="338"/>
  <c r="L53" i="338" a="1"/>
  <c r="V53" i="338" a="1"/>
  <c r="U53" i="338" a="1"/>
  <c r="U53" i="338" l="1"/>
  <c r="V53" i="338"/>
  <c r="L53" i="338"/>
  <c r="AD53" i="338"/>
  <c r="AB53" i="338"/>
  <c r="Z53" i="338"/>
  <c r="I52" i="338" a="1"/>
  <c r="N53" i="338" l="1"/>
  <c r="I52" i="338"/>
  <c r="J52" i="338" a="1"/>
  <c r="G52" i="338" a="1"/>
  <c r="J52" i="338" l="1"/>
  <c r="G52" i="338"/>
  <c r="A52" i="338"/>
  <c r="H52" i="338" a="1"/>
  <c r="H52" i="338" l="1"/>
  <c r="O52" i="338"/>
  <c r="K52" i="338"/>
  <c r="L52" i="338" a="1"/>
  <c r="U52" i="338" a="1"/>
  <c r="V52" i="338" a="1"/>
  <c r="V52" i="338" l="1"/>
  <c r="U52" i="338"/>
  <c r="L52" i="338"/>
  <c r="N52" i="338" s="1"/>
  <c r="AD52" i="338"/>
  <c r="AB52" i="338"/>
  <c r="Z52" i="338"/>
  <c r="I51" i="338" a="1"/>
  <c r="I51" i="338" l="1"/>
  <c r="J51" i="338" a="1"/>
  <c r="G51" i="338" a="1"/>
  <c r="J51" i="338" l="1"/>
  <c r="G51" i="338"/>
  <c r="A51" i="338"/>
  <c r="H51" i="338" a="1"/>
  <c r="H51" i="338" l="1"/>
  <c r="O51" i="338"/>
  <c r="K51" i="338"/>
  <c r="L51" i="338" a="1"/>
  <c r="U51" i="338" a="1"/>
  <c r="V51" i="338" a="1"/>
  <c r="V51" i="338" l="1"/>
  <c r="U51" i="338"/>
  <c r="L51" i="338"/>
  <c r="N51" i="338"/>
  <c r="AD51" i="338"/>
  <c r="AB51" i="338"/>
  <c r="Z51" i="338"/>
  <c r="I50" i="338" a="1"/>
  <c r="I50" i="338" l="1"/>
  <c r="J50" i="338" a="1"/>
  <c r="G50" i="338" a="1"/>
  <c r="J50" i="338" l="1"/>
  <c r="G50" i="338"/>
  <c r="A50" i="338"/>
  <c r="H50" i="338" a="1"/>
  <c r="H50" i="338" l="1"/>
  <c r="O50" i="338"/>
  <c r="K50" i="338"/>
  <c r="L50" i="338" a="1"/>
  <c r="U50" i="338" a="1"/>
  <c r="V50" i="338" a="1"/>
  <c r="V50" i="338" l="1"/>
  <c r="U50" i="338"/>
  <c r="L50" i="338"/>
  <c r="AD50" i="338"/>
  <c r="AB50" i="338"/>
  <c r="Z50" i="338"/>
  <c r="I49" i="338" a="1"/>
  <c r="N50" i="338" l="1"/>
  <c r="I49" i="338"/>
  <c r="J49" i="338" a="1"/>
  <c r="G49" i="338" a="1"/>
  <c r="J49" i="338" l="1"/>
  <c r="G49" i="338"/>
  <c r="A49" i="338"/>
  <c r="H49" i="338" a="1"/>
  <c r="H49" i="338" l="1"/>
  <c r="O49" i="338"/>
  <c r="K49" i="338"/>
  <c r="L49" i="338" a="1"/>
  <c r="V49" i="338" a="1"/>
  <c r="U49" i="338" a="1"/>
  <c r="U49" i="338" l="1"/>
  <c r="V49" i="338"/>
  <c r="L49" i="338"/>
  <c r="AD49" i="338"/>
  <c r="AB49" i="338"/>
  <c r="Z49" i="338"/>
  <c r="I48" i="338" a="1"/>
  <c r="N49" i="338" l="1"/>
  <c r="I48" i="338"/>
  <c r="J48" i="338" a="1"/>
  <c r="G48" i="338" a="1"/>
  <c r="J48" i="338" l="1"/>
  <c r="G48" i="338"/>
  <c r="A48" i="338"/>
  <c r="H48" i="338" a="1"/>
  <c r="H48" i="338" l="1"/>
  <c r="O48" i="338"/>
  <c r="K48" i="338"/>
  <c r="L48" i="338" a="1"/>
  <c r="U48" i="338" a="1"/>
  <c r="V48" i="338" a="1"/>
  <c r="V48" i="338" l="1"/>
  <c r="U48" i="338"/>
  <c r="L48" i="338"/>
  <c r="AD48" i="338"/>
  <c r="AB48" i="338"/>
  <c r="Z48" i="338"/>
  <c r="I47" i="338" a="1"/>
  <c r="N48" i="338" l="1"/>
  <c r="I47" i="338"/>
  <c r="J47" i="338" a="1"/>
  <c r="G47" i="338" a="1"/>
  <c r="J47" i="338" l="1"/>
  <c r="G47" i="338"/>
  <c r="A47" i="338"/>
  <c r="H47" i="338" a="1"/>
  <c r="H47" i="338" l="1"/>
  <c r="O47" i="338"/>
  <c r="K47" i="338"/>
  <c r="L47" i="338" a="1"/>
  <c r="V47" i="338" a="1"/>
  <c r="U47" i="338" a="1"/>
  <c r="U47" i="338" l="1"/>
  <c r="V47" i="338"/>
  <c r="L47" i="338"/>
  <c r="AD47" i="338"/>
  <c r="AB47" i="338"/>
  <c r="Z47" i="338"/>
  <c r="I46" i="338" a="1"/>
  <c r="N47" i="338" l="1"/>
  <c r="I46" i="338"/>
  <c r="J46" i="338" a="1"/>
  <c r="G46" i="338" a="1"/>
  <c r="J46" i="338" l="1"/>
  <c r="G46" i="338"/>
  <c r="A46" i="338"/>
  <c r="H46" i="338" a="1"/>
  <c r="H46" i="338" l="1"/>
  <c r="O46" i="338"/>
  <c r="K46" i="338"/>
  <c r="L46" i="338" a="1"/>
  <c r="U46" i="338" a="1"/>
  <c r="V46" i="338" a="1"/>
  <c r="V46" i="338" l="1"/>
  <c r="U46" i="338"/>
  <c r="L46" i="338"/>
  <c r="AD46" i="338"/>
  <c r="AB46" i="338"/>
  <c r="Z46" i="338"/>
  <c r="I45" i="338" a="1"/>
  <c r="N46" i="338" l="1"/>
  <c r="I45" i="338"/>
  <c r="J45" i="338" a="1"/>
  <c r="G45" i="338" a="1"/>
  <c r="J45" i="338" l="1"/>
  <c r="G45" i="338"/>
  <c r="A45" i="338"/>
  <c r="H45" i="338" a="1"/>
  <c r="H45" i="338" l="1"/>
  <c r="O45" i="338"/>
  <c r="K45" i="338"/>
  <c r="L45" i="338" a="1"/>
  <c r="U45" i="338" a="1"/>
  <c r="V45" i="338" a="1"/>
  <c r="V45" i="338" l="1"/>
  <c r="U45" i="338"/>
  <c r="L45" i="338"/>
  <c r="N45" i="338" s="1"/>
  <c r="AD45" i="338"/>
  <c r="AB45" i="338"/>
  <c r="Z45" i="338"/>
  <c r="I44" i="338" a="1"/>
  <c r="I44" i="338" l="1"/>
  <c r="J44" i="338" a="1"/>
  <c r="G44" i="338" a="1"/>
  <c r="J44" i="338" l="1"/>
  <c r="G44" i="338"/>
  <c r="A44" i="338"/>
  <c r="H44" i="338" a="1"/>
  <c r="H44" i="338" l="1"/>
  <c r="O44" i="338"/>
  <c r="K44" i="338"/>
  <c r="L44" i="338" a="1"/>
  <c r="U44" i="338" a="1"/>
  <c r="V44" i="338" a="1"/>
  <c r="V44" i="338" l="1"/>
  <c r="U44" i="338"/>
  <c r="L44" i="338"/>
  <c r="AD44" i="338"/>
  <c r="AB44" i="338"/>
  <c r="Z44" i="338"/>
  <c r="N44" i="338" l="1"/>
  <c r="O42" i="338"/>
  <c r="I42" i="338" a="1"/>
  <c r="I42" i="338" l="1"/>
  <c r="J42" i="338" a="1"/>
  <c r="G42" i="338" a="1"/>
  <c r="J42" i="338" l="1"/>
  <c r="G42" i="338"/>
  <c r="H42" i="338" a="1"/>
  <c r="H42" i="338" l="1"/>
  <c r="K42" i="338"/>
  <c r="L42" i="338" a="1"/>
  <c r="U42" i="338" a="1"/>
  <c r="V42" i="338" a="1"/>
  <c r="V42" i="338" l="1"/>
  <c r="U42" i="338"/>
  <c r="L42" i="338"/>
  <c r="AD42" i="338"/>
  <c r="AB42" i="338"/>
  <c r="Z42" i="338"/>
  <c r="N42" i="338" l="1"/>
  <c r="O41" i="338"/>
  <c r="I41" i="338" a="1"/>
  <c r="I41" i="338" l="1"/>
  <c r="J41" i="338" a="1"/>
  <c r="G41" i="338" a="1"/>
  <c r="J41" i="338" l="1"/>
  <c r="G41" i="338"/>
  <c r="H41" i="338" a="1"/>
  <c r="H41" i="338" l="1"/>
  <c r="K41" i="338"/>
  <c r="L41" i="338" a="1"/>
  <c r="V41" i="338" a="1"/>
  <c r="U41" i="338" a="1"/>
  <c r="U41" i="338" l="1"/>
  <c r="V41" i="338"/>
  <c r="L41" i="338"/>
  <c r="N41" i="338"/>
  <c r="AD41" i="338"/>
  <c r="AB41" i="338"/>
  <c r="Z41" i="338"/>
  <c r="I40" i="338" a="1"/>
  <c r="I40" i="338" l="1"/>
  <c r="J40" i="338" a="1"/>
  <c r="G40" i="338" a="1"/>
  <c r="J40" i="338" l="1"/>
  <c r="G40" i="338"/>
  <c r="A40" i="338"/>
  <c r="H40" i="338" a="1"/>
  <c r="H40" i="338" l="1"/>
  <c r="O40" i="338"/>
  <c r="K40" i="338"/>
  <c r="L40" i="338" a="1"/>
  <c r="V40" i="338" a="1"/>
  <c r="U40" i="338" a="1"/>
  <c r="U40" i="338" l="1"/>
  <c r="V40" i="338"/>
  <c r="L40" i="338"/>
  <c r="N40" i="338"/>
  <c r="AD40" i="338"/>
  <c r="AB40" i="338"/>
  <c r="Z40" i="338"/>
  <c r="I39" i="338" a="1"/>
  <c r="I39" i="338" l="1"/>
  <c r="J39" i="338" a="1"/>
  <c r="G39" i="338" a="1"/>
  <c r="J39" i="338" l="1"/>
  <c r="G39" i="338"/>
  <c r="A39" i="338"/>
  <c r="H39" i="338" a="1"/>
  <c r="H39" i="338" l="1"/>
  <c r="O39" i="338"/>
  <c r="K39" i="338"/>
  <c r="L39" i="338" a="1"/>
  <c r="V39" i="338" a="1"/>
  <c r="U39" i="338" a="1"/>
  <c r="U39" i="338" l="1"/>
  <c r="V39" i="338"/>
  <c r="L39" i="338"/>
  <c r="AD39" i="338"/>
  <c r="AB39" i="338"/>
  <c r="Z39" i="338"/>
  <c r="I38" i="338" a="1"/>
  <c r="N39" i="338" l="1"/>
  <c r="I38" i="338"/>
  <c r="J38" i="338" a="1"/>
  <c r="G38" i="338" a="1"/>
  <c r="J38" i="338" l="1"/>
  <c r="G38" i="338"/>
  <c r="A38" i="338"/>
  <c r="H38" i="338" a="1"/>
  <c r="H38" i="338" l="1"/>
  <c r="O38" i="338"/>
  <c r="K38" i="338"/>
  <c r="L38" i="338" a="1"/>
  <c r="U38" i="338" a="1"/>
  <c r="V38" i="338" a="1"/>
  <c r="V38" i="338" l="1"/>
  <c r="U38" i="338"/>
  <c r="L38" i="338"/>
  <c r="N38" i="338" s="1"/>
  <c r="AD38" i="338"/>
  <c r="AB38" i="338"/>
  <c r="Z38" i="338"/>
  <c r="I37" i="338" a="1"/>
  <c r="I37" i="338" l="1"/>
  <c r="J37" i="338" a="1"/>
  <c r="G37" i="338" a="1"/>
  <c r="J37" i="338" l="1"/>
  <c r="G37" i="338"/>
  <c r="A37" i="338"/>
  <c r="H37" i="338" a="1"/>
  <c r="H37" i="338" l="1"/>
  <c r="O37" i="338"/>
  <c r="K37" i="338"/>
  <c r="L37" i="338" a="1"/>
  <c r="V37" i="338" a="1"/>
  <c r="U37" i="338" a="1"/>
  <c r="U37" i="338" l="1"/>
  <c r="V37" i="338"/>
  <c r="L37" i="338"/>
  <c r="N37" i="338"/>
  <c r="AD37" i="338"/>
  <c r="AB37" i="338"/>
  <c r="Z37" i="338"/>
  <c r="I36" i="338" a="1"/>
  <c r="I36" i="338" l="1"/>
  <c r="J36" i="338" a="1"/>
  <c r="G36" i="338" a="1"/>
  <c r="J36" i="338" l="1"/>
  <c r="G36" i="338"/>
  <c r="A36" i="338"/>
  <c r="H36" i="338" a="1"/>
  <c r="H36" i="338" l="1"/>
  <c r="O36" i="338"/>
  <c r="K36" i="338"/>
  <c r="L36" i="338" a="1"/>
  <c r="V36" i="338" a="1"/>
  <c r="U36" i="338" a="1"/>
  <c r="U36" i="338" l="1"/>
  <c r="V36" i="338"/>
  <c r="L36" i="338"/>
  <c r="AD36" i="338"/>
  <c r="AB36" i="338"/>
  <c r="Z36" i="338"/>
  <c r="I35" i="338" a="1"/>
  <c r="N36" i="338" l="1"/>
  <c r="I35" i="338"/>
  <c r="J35" i="338" a="1"/>
  <c r="G35" i="338" a="1"/>
  <c r="J35" i="338" l="1"/>
  <c r="G35" i="338"/>
  <c r="A35" i="338"/>
  <c r="H35" i="338" a="1"/>
  <c r="H35" i="338" l="1"/>
  <c r="O35" i="338"/>
  <c r="K35" i="338"/>
  <c r="L35" i="338" a="1"/>
  <c r="U35" i="338" a="1"/>
  <c r="V35" i="338" a="1"/>
  <c r="V35" i="338" l="1"/>
  <c r="U35" i="338"/>
  <c r="L35" i="338"/>
  <c r="N35" i="338" s="1"/>
  <c r="AD35" i="338"/>
  <c r="AB35" i="338"/>
  <c r="Z35" i="338"/>
  <c r="I34" i="338" a="1"/>
  <c r="I34" i="338" l="1"/>
  <c r="J34" i="338" a="1"/>
  <c r="G34" i="338" a="1"/>
  <c r="J34" i="338" l="1"/>
  <c r="G34" i="338"/>
  <c r="A34" i="338"/>
  <c r="H34" i="338" a="1"/>
  <c r="H34" i="338" l="1"/>
  <c r="O34" i="338"/>
  <c r="K34" i="338"/>
  <c r="L34" i="338" a="1"/>
  <c r="V34" i="338" a="1"/>
  <c r="U34" i="338" a="1"/>
  <c r="U34" i="338" l="1"/>
  <c r="V34" i="338"/>
  <c r="L34" i="338"/>
  <c r="AD34" i="338"/>
  <c r="AB34" i="338"/>
  <c r="Z34" i="338"/>
  <c r="I33" i="338" a="1"/>
  <c r="N34" i="338" l="1"/>
  <c r="I33" i="338"/>
  <c r="J33" i="338" a="1"/>
  <c r="G33" i="338" a="1"/>
  <c r="J33" i="338" l="1"/>
  <c r="G33" i="338"/>
  <c r="A33" i="338"/>
  <c r="H33" i="338" a="1"/>
  <c r="H33" i="338" l="1"/>
  <c r="O33" i="338"/>
  <c r="K33" i="338"/>
  <c r="L33" i="338" a="1"/>
  <c r="U33" i="338" a="1"/>
  <c r="V33" i="338" a="1"/>
  <c r="V33" i="338" l="1"/>
  <c r="U33" i="338"/>
  <c r="L33" i="338"/>
  <c r="AD33" i="338"/>
  <c r="AB33" i="338"/>
  <c r="Z33" i="338"/>
  <c r="I32" i="338" a="1"/>
  <c r="N33" i="338" l="1"/>
  <c r="I32" i="338"/>
  <c r="J32" i="338" a="1"/>
  <c r="G32" i="338" a="1"/>
  <c r="J32" i="338" l="1"/>
  <c r="G32" i="338"/>
  <c r="A32" i="338"/>
  <c r="H32" i="338" a="1"/>
  <c r="H32" i="338" l="1"/>
  <c r="O32" i="338"/>
  <c r="K32" i="338"/>
  <c r="L32" i="338" a="1"/>
  <c r="V32" i="338" a="1"/>
  <c r="U32" i="338" a="1"/>
  <c r="U32" i="338" l="1"/>
  <c r="V32" i="338"/>
  <c r="L32" i="338"/>
  <c r="N32" i="338" s="1"/>
  <c r="AD32" i="338"/>
  <c r="AB32" i="338"/>
  <c r="Z32" i="338"/>
  <c r="I31" i="338" a="1"/>
  <c r="I31" i="338" l="1"/>
  <c r="J31" i="338" a="1"/>
  <c r="G31" i="338" a="1"/>
  <c r="J31" i="338" l="1"/>
  <c r="G31" i="338"/>
  <c r="A31" i="338"/>
  <c r="H31" i="338" a="1"/>
  <c r="H31" i="338" l="1"/>
  <c r="O31" i="338"/>
  <c r="K31" i="338"/>
  <c r="L31" i="338" a="1"/>
  <c r="V31" i="338" a="1"/>
  <c r="U31" i="338" a="1"/>
  <c r="U31" i="338" l="1"/>
  <c r="V31" i="338"/>
  <c r="L31" i="338"/>
  <c r="AD31" i="338"/>
  <c r="AB31" i="338"/>
  <c r="Z31" i="338"/>
  <c r="I30" i="338" a="1"/>
  <c r="N31" i="338" l="1"/>
  <c r="I30" i="338"/>
  <c r="J30" i="338" a="1"/>
  <c r="G30" i="338" a="1"/>
  <c r="J30" i="338" l="1"/>
  <c r="G30" i="338"/>
  <c r="A30" i="338"/>
  <c r="H30" i="338" a="1"/>
  <c r="H30" i="338" l="1"/>
  <c r="O30" i="338"/>
  <c r="K30" i="338"/>
  <c r="L30" i="338" a="1"/>
  <c r="U30" i="338" a="1"/>
  <c r="V30" i="338" a="1"/>
  <c r="V30" i="338" l="1"/>
  <c r="U30" i="338"/>
  <c r="L30" i="338"/>
  <c r="N30" i="338" s="1"/>
  <c r="AD30" i="338"/>
  <c r="AB30" i="338"/>
  <c r="Z30" i="338"/>
  <c r="I29" i="338" a="1"/>
  <c r="I29" i="338" l="1"/>
  <c r="J29" i="338" a="1"/>
  <c r="G29" i="338" a="1"/>
  <c r="J29" i="338" l="1"/>
  <c r="G29" i="338"/>
  <c r="A29" i="338"/>
  <c r="D23" i="338"/>
  <c r="A23" i="338"/>
  <c r="D22" i="338"/>
  <c r="A22" i="338"/>
  <c r="D21" i="338"/>
  <c r="A21" i="338"/>
  <c r="D20" i="338"/>
  <c r="A20" i="338"/>
  <c r="A19" i="338"/>
  <c r="H29" i="338" a="1"/>
  <c r="H29" i="338" l="1"/>
  <c r="O29" i="338"/>
  <c r="K29" i="338"/>
  <c r="L29" i="338" a="1"/>
  <c r="V29" i="338" a="1"/>
  <c r="U29" i="338" a="1"/>
  <c r="U29" i="338" l="1"/>
  <c r="V29" i="338"/>
  <c r="L29" i="338"/>
  <c r="N29" i="338" s="1"/>
  <c r="AD29" i="338"/>
  <c r="AB29" i="338"/>
  <c r="Z29" i="338"/>
  <c r="O18" i="338" l="1"/>
  <c r="I18" i="338" a="1"/>
  <c r="I18" i="338" l="1"/>
  <c r="J18" i="338" a="1"/>
  <c r="G18" i="338" a="1"/>
  <c r="J18" i="338" l="1"/>
  <c r="G18" i="338"/>
  <c r="E18" i="338"/>
  <c r="D18" i="338" s="1"/>
  <c r="H18" i="338" a="1"/>
  <c r="H18" i="338" l="1"/>
  <c r="K18" i="338"/>
  <c r="L18" i="338" a="1"/>
  <c r="V18" i="338" a="1"/>
  <c r="U18" i="338" a="1"/>
  <c r="U18" i="338" l="1"/>
  <c r="V18" i="338"/>
  <c r="L18" i="338"/>
  <c r="N18" i="338"/>
  <c r="AD18" i="338"/>
  <c r="Z18" i="338"/>
  <c r="AB18" i="338"/>
  <c r="I17" i="338" a="1"/>
  <c r="I17" i="338" l="1"/>
  <c r="J17" i="338" a="1"/>
  <c r="G17" i="338" a="1"/>
  <c r="J17" i="338" l="1"/>
  <c r="G17" i="338"/>
  <c r="A17" i="338"/>
  <c r="H17" i="338" a="1"/>
  <c r="H17" i="338" l="1"/>
  <c r="O17" i="338"/>
  <c r="K17" i="338"/>
  <c r="L17" i="338" a="1"/>
  <c r="V17" i="338" a="1"/>
  <c r="U17" i="338" a="1"/>
  <c r="U17" i="338" l="1"/>
  <c r="V17" i="338"/>
  <c r="L17" i="338"/>
  <c r="AD17" i="338"/>
  <c r="AB17" i="338"/>
  <c r="Z17" i="338"/>
  <c r="I16" i="338" a="1"/>
  <c r="N17" i="338" l="1"/>
  <c r="I16" i="338"/>
  <c r="J16" i="338" a="1"/>
  <c r="G16" i="338" a="1"/>
  <c r="J16" i="338" l="1"/>
  <c r="G16" i="338"/>
  <c r="D16" i="338"/>
  <c r="E16" i="338" s="1"/>
  <c r="A16" i="338"/>
  <c r="H16" i="338" a="1"/>
  <c r="H16" i="338" l="1"/>
  <c r="O16" i="338"/>
  <c r="K16" i="338"/>
  <c r="L16" i="338" a="1"/>
  <c r="U16" i="338" a="1"/>
  <c r="V16" i="338" a="1"/>
  <c r="V16" i="338" l="1"/>
  <c r="U16" i="338"/>
  <c r="L16" i="338"/>
  <c r="N16" i="338"/>
  <c r="AD16" i="338"/>
  <c r="AB16" i="338"/>
  <c r="Z16" i="338"/>
  <c r="I15" i="338" a="1"/>
  <c r="I15" i="338" l="1"/>
  <c r="J15" i="338" a="1"/>
  <c r="G15" i="338" a="1"/>
  <c r="J15" i="338" l="1"/>
  <c r="G15" i="338"/>
  <c r="D15" i="338"/>
  <c r="E15" i="338" s="1"/>
  <c r="E17" i="338" s="1"/>
  <c r="D17" i="338" s="1"/>
  <c r="D19" i="338" s="1"/>
  <c r="A15" i="338"/>
  <c r="AU14" i="338"/>
  <c r="AS14" i="338"/>
  <c r="AR14" i="338"/>
  <c r="H15" i="338" a="1"/>
  <c r="H15" i="338" l="1"/>
  <c r="O15" i="338"/>
  <c r="K15" i="338"/>
  <c r="L15" i="338" a="1"/>
  <c r="V15" i="338" a="1"/>
  <c r="U15" i="338" a="1"/>
  <c r="U15" i="338" l="1"/>
  <c r="V15" i="338"/>
  <c r="L15" i="338"/>
  <c r="N15" i="338" s="1"/>
  <c r="AD15" i="338"/>
  <c r="AB15" i="338"/>
  <c r="Z15" i="338"/>
  <c r="AG14" i="338" l="1"/>
  <c r="I14" i="338" a="1"/>
  <c r="I14" i="338" l="1"/>
  <c r="AT14" i="338" l="1"/>
  <c r="G14" i="338" a="1"/>
  <c r="G14" i="338" l="1"/>
  <c r="D14" i="338"/>
  <c r="A14" i="338"/>
  <c r="H14" i="338" a="1"/>
  <c r="H14" i="338" l="1"/>
  <c r="O14" i="338"/>
  <c r="K14" i="338"/>
  <c r="L14" i="338" a="1"/>
  <c r="V14" i="338" a="1"/>
  <c r="U14" i="338" a="1"/>
  <c r="U14" i="338" l="1"/>
  <c r="V14" i="338"/>
  <c r="L14" i="338"/>
  <c r="AD14" i="338"/>
  <c r="AB14" i="338"/>
  <c r="Z14" i="338"/>
  <c r="I13" i="338" a="1"/>
  <c r="N14" i="338" l="1"/>
  <c r="I13" i="338"/>
  <c r="J13" i="338" a="1"/>
  <c r="G13" i="338" a="1"/>
  <c r="J13" i="338" l="1"/>
  <c r="G13" i="338"/>
  <c r="E13" i="338"/>
  <c r="D13" i="338"/>
  <c r="A13" i="338"/>
  <c r="H13" i="338" a="1"/>
  <c r="H13" i="338" l="1"/>
  <c r="O13" i="338"/>
  <c r="K13" i="338"/>
  <c r="L13" i="338" a="1"/>
  <c r="V13" i="338" a="1"/>
  <c r="U13" i="338" a="1"/>
  <c r="U13" i="338" l="1"/>
  <c r="V13" i="338"/>
  <c r="L13" i="338"/>
  <c r="N13" i="338" s="1"/>
  <c r="AD13" i="338"/>
  <c r="AB13" i="338"/>
  <c r="Z13" i="338"/>
  <c r="I12" i="338" a="1"/>
  <c r="I12" i="338" l="1"/>
  <c r="J12" i="338" a="1"/>
  <c r="G12" i="338" a="1"/>
  <c r="J12" i="338" l="1"/>
  <c r="G12" i="338"/>
  <c r="E12" i="338"/>
  <c r="D12" i="338"/>
  <c r="A12" i="338"/>
  <c r="H12" i="338" a="1"/>
  <c r="H12" i="338" l="1"/>
  <c r="O12" i="338"/>
  <c r="K12" i="338"/>
  <c r="L12" i="338" a="1"/>
  <c r="V12" i="338" a="1"/>
  <c r="U12" i="338" a="1"/>
  <c r="U12" i="338" l="1"/>
  <c r="V12" i="338"/>
  <c r="L12" i="338"/>
  <c r="N12" i="338"/>
  <c r="AD12" i="338"/>
  <c r="AB12" i="338"/>
  <c r="Z12" i="338"/>
  <c r="I11" i="338" a="1"/>
  <c r="I11" i="338" l="1"/>
  <c r="J11" i="338" a="1"/>
  <c r="G11" i="338" a="1"/>
  <c r="J11" i="338" l="1"/>
  <c r="G11" i="338"/>
  <c r="E11" i="338"/>
  <c r="D11" i="338" s="1"/>
  <c r="A11" i="338"/>
  <c r="H11" i="338" a="1"/>
  <c r="H11" i="338" l="1"/>
  <c r="O11" i="338"/>
  <c r="K11" i="338"/>
  <c r="L11" i="338" a="1"/>
  <c r="U11" i="338" a="1"/>
  <c r="V11" i="338" a="1"/>
  <c r="V11" i="338" l="1"/>
  <c r="U11" i="338"/>
  <c r="L11" i="338"/>
  <c r="AD11" i="338"/>
  <c r="AB11" i="338"/>
  <c r="Z11" i="338"/>
  <c r="I10" i="338" a="1"/>
  <c r="N11" i="338" l="1"/>
  <c r="I10" i="338"/>
  <c r="J10" i="338" a="1"/>
  <c r="G10" i="338" a="1"/>
  <c r="J10" i="338" l="1"/>
  <c r="G10" i="338"/>
  <c r="E10" i="338"/>
  <c r="D10" i="338" s="1"/>
  <c r="A10" i="338"/>
  <c r="H10" i="338" a="1"/>
  <c r="H10" i="338" l="1"/>
  <c r="O10" i="338"/>
  <c r="K10" i="338"/>
  <c r="L10" i="338" a="1"/>
  <c r="V10" i="338" a="1"/>
  <c r="U10" i="338" a="1"/>
  <c r="U10" i="338" l="1"/>
  <c r="V10" i="338"/>
  <c r="L10" i="338"/>
  <c r="N10" i="338" s="1"/>
  <c r="AD10" i="338"/>
  <c r="AB10" i="338"/>
  <c r="Z10" i="338"/>
  <c r="I9" i="338" a="1"/>
  <c r="I9" i="338" l="1"/>
  <c r="J9" i="338" a="1"/>
  <c r="G9" i="338" a="1"/>
  <c r="J9" i="338" l="1"/>
  <c r="G9" i="338"/>
  <c r="E9" i="338"/>
  <c r="D9" i="338" s="1"/>
  <c r="A9" i="338"/>
  <c r="H9" i="338" a="1"/>
  <c r="H9" i="338" l="1"/>
  <c r="O9" i="338"/>
  <c r="K9" i="338"/>
  <c r="L9" i="338" a="1"/>
  <c r="V9" i="338" a="1"/>
  <c r="U9" i="338" a="1"/>
  <c r="U9" i="338" l="1"/>
  <c r="V9" i="338"/>
  <c r="L9" i="338"/>
  <c r="AD9" i="338"/>
  <c r="AB9" i="338"/>
  <c r="Z9" i="338"/>
  <c r="I8" i="338" a="1"/>
  <c r="N9" i="338" l="1"/>
  <c r="I8" i="338"/>
  <c r="J8" i="338" a="1"/>
  <c r="G8" i="338" a="1"/>
  <c r="J8" i="338" l="1"/>
  <c r="G8" i="338"/>
  <c r="E8" i="338"/>
  <c r="D8" i="338" s="1"/>
  <c r="D4" i="338" s="1"/>
  <c r="A8" i="338"/>
  <c r="Q5" i="338"/>
  <c r="D5" i="338"/>
  <c r="Q3" i="338"/>
  <c r="H8" i="338" a="1"/>
  <c r="AU30" i="338" a="1"/>
  <c r="AP54" i="338" a="1"/>
  <c r="AU46" i="338" a="1"/>
  <c r="AU32" i="338" a="1"/>
  <c r="AP52" i="338" a="1"/>
  <c r="AU50" i="338" a="1"/>
  <c r="AU9" i="338" a="1"/>
  <c r="AU42" i="338" a="1"/>
  <c r="AU8" i="338" a="1"/>
  <c r="AP31" i="338" a="1"/>
  <c r="AP53" i="338" a="1"/>
  <c r="AP32" i="338" a="1"/>
  <c r="AP17" i="338" a="1"/>
  <c r="AU49" i="338" a="1"/>
  <c r="AP39" i="338" a="1"/>
  <c r="AP18" i="338" a="1"/>
  <c r="AP42" i="338" a="1"/>
  <c r="AU13" i="338" a="1"/>
  <c r="AU11" i="338" a="1"/>
  <c r="AU18" i="338" a="1"/>
  <c r="AP15" i="338" a="1"/>
  <c r="AU40" i="338" a="1"/>
  <c r="AP41" i="338" a="1"/>
  <c r="AU54" i="338" a="1"/>
  <c r="AU48" i="338" a="1"/>
  <c r="AP12" i="338" a="1"/>
  <c r="AU51" i="338" a="1"/>
  <c r="AU47" i="338" a="1"/>
  <c r="AP9" i="338" a="1"/>
  <c r="AP51" i="338" a="1"/>
  <c r="AU12" i="338" a="1"/>
  <c r="AU34" i="338" a="1"/>
  <c r="AP50" i="338" a="1"/>
  <c r="AU38" i="338" a="1"/>
  <c r="AP36" i="338" a="1"/>
  <c r="AU35" i="338" a="1"/>
  <c r="AP10" i="338" a="1"/>
  <c r="AP13" i="338" a="1"/>
  <c r="AP11" i="338" a="1"/>
  <c r="AU17" i="338" a="1"/>
  <c r="AP48" i="338" a="1"/>
  <c r="AU36" i="338" a="1"/>
  <c r="AP30" i="338" a="1"/>
  <c r="AP16" i="338" a="1"/>
  <c r="AU44" i="338" a="1"/>
  <c r="AP34" i="338" a="1"/>
  <c r="AP33" i="338" a="1"/>
  <c r="AP47" i="338" a="1"/>
  <c r="AU39" i="338" a="1"/>
  <c r="AU31" i="338" a="1"/>
  <c r="AP40" i="338" a="1"/>
  <c r="AU10" i="338" a="1"/>
  <c r="AP14" i="338" a="1"/>
  <c r="AU53" i="338" a="1"/>
  <c r="AU52" i="338" a="1"/>
  <c r="AU37" i="338" a="1"/>
  <c r="AP8" i="338" a="1"/>
  <c r="AU29" i="338" a="1"/>
  <c r="AP44" i="338" a="1"/>
  <c r="AP46" i="338" a="1"/>
  <c r="AP49" i="338" a="1"/>
  <c r="AP38" i="338" a="1"/>
  <c r="AU33" i="338" a="1"/>
  <c r="AU15" i="338" a="1"/>
  <c r="AU16" i="338" a="1"/>
  <c r="AP45" i="338" a="1"/>
  <c r="AU41" i="338" a="1"/>
  <c r="AP35" i="338" a="1"/>
  <c r="AU45" i="338" a="1"/>
  <c r="AP29" i="338" a="1"/>
  <c r="AP37" i="338" a="1"/>
  <c r="H8" i="338" l="1"/>
  <c r="AP37" i="338"/>
  <c r="AP29" i="338"/>
  <c r="AU45" i="338"/>
  <c r="AP35" i="338"/>
  <c r="AU41" i="338"/>
  <c r="AP45" i="338"/>
  <c r="AU16" i="338"/>
  <c r="AU15" i="338"/>
  <c r="AU33" i="338"/>
  <c r="AP38" i="338"/>
  <c r="AP49" i="338"/>
  <c r="AP46" i="338"/>
  <c r="AP44" i="338"/>
  <c r="AU29" i="338"/>
  <c r="AP8" i="338"/>
  <c r="AU37" i="338"/>
  <c r="AU52" i="338"/>
  <c r="AU53" i="338"/>
  <c r="AP14" i="338"/>
  <c r="AU10" i="338"/>
  <c r="AP40" i="338"/>
  <c r="AU31" i="338"/>
  <c r="AU39" i="338"/>
  <c r="AP47" i="338"/>
  <c r="AP33" i="338"/>
  <c r="AP34" i="338"/>
  <c r="AU44" i="338"/>
  <c r="AP16" i="338"/>
  <c r="AP30" i="338"/>
  <c r="AU36" i="338"/>
  <c r="AP48" i="338"/>
  <c r="AU17" i="338"/>
  <c r="AP11" i="338"/>
  <c r="AP13" i="338"/>
  <c r="AP10" i="338"/>
  <c r="AU35" i="338"/>
  <c r="AP36" i="338"/>
  <c r="AU38" i="338"/>
  <c r="AP50" i="338"/>
  <c r="AU34" i="338"/>
  <c r="AU12" i="338"/>
  <c r="AP51" i="338"/>
  <c r="AP9" i="338"/>
  <c r="AU47" i="338"/>
  <c r="AU51" i="338"/>
  <c r="AP12" i="338"/>
  <c r="AU48" i="338"/>
  <c r="AU54" i="338"/>
  <c r="AP41" i="338"/>
  <c r="AU40" i="338"/>
  <c r="AP15" i="338"/>
  <c r="AU18" i="338"/>
  <c r="AU11" i="338"/>
  <c r="AU13" i="338"/>
  <c r="AP42" i="338"/>
  <c r="AP18" i="338"/>
  <c r="AP39" i="338"/>
  <c r="AU49" i="338"/>
  <c r="AP17" i="338"/>
  <c r="AP32" i="338"/>
  <c r="AP53" i="338"/>
  <c r="AP31" i="338"/>
  <c r="AU8" i="338"/>
  <c r="AU42" i="338"/>
  <c r="AU9" i="338"/>
  <c r="AU50" i="338"/>
  <c r="AP52" i="338"/>
  <c r="AU32" i="338"/>
  <c r="AU46" i="338"/>
  <c r="AP54" i="338"/>
  <c r="AU30" i="338"/>
  <c r="E4" i="338"/>
  <c r="E1" i="338" s="1"/>
  <c r="V20" i="252"/>
  <c r="U20" i="252"/>
  <c r="O8" i="338"/>
  <c r="Q2" i="338"/>
  <c r="Q4" i="338" s="1"/>
  <c r="AN3" i="338"/>
  <c r="AM3" i="338"/>
  <c r="K8" i="338"/>
  <c r="Q8" i="338" a="1"/>
  <c r="Q46" i="338" a="1"/>
  <c r="Q50" i="338" a="1"/>
  <c r="Q32" i="338" a="1"/>
  <c r="Q40" i="338" a="1"/>
  <c r="Q39" i="338" a="1"/>
  <c r="Q15" i="338" a="1"/>
  <c r="Q44" i="338" a="1"/>
  <c r="Q17" i="338" a="1"/>
  <c r="Q52" i="338" a="1"/>
  <c r="Q38" i="338" a="1"/>
  <c r="Q16" i="338" a="1"/>
  <c r="Q33" i="338" a="1"/>
  <c r="Q31" i="338" a="1"/>
  <c r="Q41" i="338" a="1"/>
  <c r="Q51" i="338" a="1"/>
  <c r="Q47" i="338" a="1"/>
  <c r="Q12" i="338" a="1"/>
  <c r="Q18" i="338" a="1"/>
  <c r="Q9" i="338" a="1"/>
  <c r="Q36" i="338" a="1"/>
  <c r="Q34" i="338" a="1"/>
  <c r="Q37" i="338" a="1"/>
  <c r="Q35" i="338" a="1"/>
  <c r="Q30" i="338" a="1"/>
  <c r="Q13" i="338" a="1"/>
  <c r="Q45" i="338" a="1"/>
  <c r="Q14" i="338" a="1"/>
  <c r="Q11" i="338" a="1"/>
  <c r="Q10" i="338" a="1"/>
  <c r="Q53" i="338" a="1"/>
  <c r="Q29" i="338" a="1"/>
  <c r="Q49" i="338" a="1"/>
  <c r="Q48" i="338" a="1"/>
  <c r="Q42" i="338" a="1"/>
  <c r="Q54" i="338" a="1"/>
  <c r="Q55" i="338" a="1"/>
  <c r="L8" i="338" a="1"/>
  <c r="U8" i="338" a="1"/>
  <c r="V8" i="338" a="1"/>
  <c r="V8" i="338" l="1"/>
  <c r="U8" i="338"/>
  <c r="L8" i="338"/>
  <c r="Q9" i="338"/>
  <c r="Q18" i="338"/>
  <c r="Q12" i="338"/>
  <c r="Q47" i="338"/>
  <c r="Q51" i="338"/>
  <c r="Q41" i="338"/>
  <c r="Q31" i="338"/>
  <c r="Q33" i="338"/>
  <c r="Q16" i="338"/>
  <c r="Q38" i="338"/>
  <c r="Q52" i="338"/>
  <c r="Q17" i="338"/>
  <c r="Q44" i="338"/>
  <c r="Q15" i="338"/>
  <c r="Q39" i="338"/>
  <c r="Q40" i="338"/>
  <c r="Q32" i="338"/>
  <c r="Q50" i="338"/>
  <c r="Q46" i="338"/>
  <c r="Q8" i="338"/>
  <c r="Q54" i="338"/>
  <c r="Q42" i="338"/>
  <c r="Q48" i="338"/>
  <c r="Q49" i="338"/>
  <c r="Q29" i="338"/>
  <c r="Q53" i="338"/>
  <c r="Q10" i="338"/>
  <c r="Q11" i="338"/>
  <c r="Q14" i="338"/>
  <c r="Q45" i="338"/>
  <c r="Q13" i="338"/>
  <c r="Q30" i="338"/>
  <c r="Q35" i="338"/>
  <c r="Q37" i="338"/>
  <c r="Q34" i="338"/>
  <c r="Q36" i="338"/>
  <c r="Q55" i="338"/>
  <c r="E2" i="338"/>
  <c r="AT35" i="338"/>
  <c r="AO16" i="338"/>
  <c r="AT36" i="338"/>
  <c r="AT50" i="338"/>
  <c r="AO47" i="338"/>
  <c r="AO37" i="338"/>
  <c r="AT37" i="338"/>
  <c r="AO18" i="338"/>
  <c r="AO49" i="338"/>
  <c r="AT18" i="338"/>
  <c r="AT49" i="338"/>
  <c r="AO29" i="338"/>
  <c r="AO39" i="338"/>
  <c r="AT39" i="338"/>
  <c r="AO30" i="338"/>
  <c r="AO51" i="338"/>
  <c r="AT47" i="338"/>
  <c r="AT48" i="338"/>
  <c r="AT51" i="338"/>
  <c r="AO36" i="338"/>
  <c r="AT16" i="338"/>
  <c r="AO17" i="338"/>
  <c r="AT17" i="338"/>
  <c r="AO38" i="338"/>
  <c r="AT38" i="338"/>
  <c r="AT8" i="338"/>
  <c r="AO50" i="338"/>
  <c r="AO9" i="338"/>
  <c r="AT29" i="338"/>
  <c r="AT9" i="338"/>
  <c r="AO40" i="338"/>
  <c r="AO10" i="338"/>
  <c r="AT30" i="338"/>
  <c r="AT40" i="338"/>
  <c r="AT10" i="338"/>
  <c r="AO31" i="338"/>
  <c r="AO41" i="338"/>
  <c r="AO52" i="338"/>
  <c r="AO11" i="338"/>
  <c r="AT31" i="338"/>
  <c r="AT41" i="338"/>
  <c r="AT52" i="338"/>
  <c r="AT11" i="338"/>
  <c r="AO32" i="338"/>
  <c r="AO42" i="338"/>
  <c r="AD8" i="338"/>
  <c r="AB8" i="338"/>
  <c r="Z8" i="338"/>
  <c r="AO12" i="338"/>
  <c r="AT32" i="338"/>
  <c r="AT42" i="338"/>
  <c r="AT53" i="338"/>
  <c r="AT12" i="338"/>
  <c r="AO33" i="338"/>
  <c r="AO44" i="338"/>
  <c r="AO54" i="338"/>
  <c r="AO13" i="338"/>
  <c r="AT33" i="338"/>
  <c r="AT44" i="338"/>
  <c r="AT54" i="338"/>
  <c r="AT15" i="338"/>
  <c r="AT46" i="338"/>
  <c r="AO48" i="338"/>
  <c r="AO53" i="338"/>
  <c r="AO8" i="338"/>
  <c r="AT13" i="338"/>
  <c r="AO34" i="338"/>
  <c r="AO45" i="338"/>
  <c r="AO14" i="338"/>
  <c r="AT34" i="338"/>
  <c r="AT45" i="338"/>
  <c r="AO15" i="338"/>
  <c r="AO35" i="338"/>
  <c r="AO46" i="338"/>
  <c r="AN40" i="338"/>
  <c r="AN44" i="338"/>
  <c r="AR36" i="338"/>
  <c r="AN39" i="338"/>
  <c r="AN38" i="338"/>
  <c r="AR44" i="338"/>
  <c r="AN47" i="338"/>
  <c r="AN37" i="338"/>
  <c r="AM44" i="338"/>
  <c r="AS36" i="338"/>
  <c r="AM39" i="338"/>
  <c r="AM38" i="338"/>
  <c r="AS44" i="338"/>
  <c r="AM47" i="338"/>
  <c r="AM37" i="338"/>
  <c r="AS46" i="338"/>
  <c r="AS16" i="338"/>
  <c r="AN35" i="338"/>
  <c r="AM48" i="338"/>
  <c r="AN29" i="338"/>
  <c r="AM40" i="338"/>
  <c r="AS47" i="338"/>
  <c r="AN53" i="338"/>
  <c r="AS18" i="338"/>
  <c r="AS41" i="338"/>
  <c r="AN36" i="338"/>
  <c r="AM53" i="338"/>
  <c r="AR18" i="338"/>
  <c r="AR41" i="338"/>
  <c r="AM36" i="338"/>
  <c r="AR46" i="338"/>
  <c r="AR16" i="338"/>
  <c r="AM35" i="338"/>
  <c r="AN10" i="338"/>
  <c r="AR50" i="338"/>
  <c r="AS8" i="338"/>
  <c r="AM51" i="338"/>
  <c r="AS10" i="338"/>
  <c r="AS30" i="338"/>
  <c r="AS12" i="338"/>
  <c r="AM30" i="338"/>
  <c r="AR10" i="338"/>
  <c r="AR30" i="338"/>
  <c r="AR12" i="338"/>
  <c r="AM10" i="338"/>
  <c r="AN30" i="338"/>
  <c r="AS50" i="338"/>
  <c r="AR8" i="338"/>
  <c r="AR15" i="338"/>
  <c r="AS37" i="338"/>
  <c r="AN49" i="338"/>
  <c r="AM32" i="338"/>
  <c r="AS13" i="338"/>
  <c r="AS33" i="338"/>
  <c r="AN12" i="338"/>
  <c r="AN9" i="338"/>
  <c r="AN14" i="338"/>
  <c r="AM33" i="338"/>
  <c r="AN54" i="338"/>
  <c r="AR37" i="338"/>
  <c r="AM49" i="338"/>
  <c r="AN32" i="338"/>
  <c r="AR13" i="338"/>
  <c r="AR33" i="338"/>
  <c r="AM12" i="338"/>
  <c r="AM9" i="338"/>
  <c r="AS54" i="338"/>
  <c r="AR45" i="338"/>
  <c r="AN31" i="338"/>
  <c r="AN46" i="338"/>
  <c r="AR48" i="338"/>
  <c r="AR52" i="338"/>
  <c r="AS40" i="338"/>
  <c r="AR34" i="338"/>
  <c r="AS29" i="338"/>
  <c r="AS32" i="338"/>
  <c r="AM34" i="338"/>
  <c r="AS39" i="338"/>
  <c r="AR39" i="338"/>
  <c r="AS45" i="338"/>
  <c r="AM41" i="338"/>
  <c r="AS52" i="338"/>
  <c r="AR40" i="338"/>
  <c r="AS34" i="338"/>
  <c r="AR29" i="338"/>
  <c r="AR32" i="338"/>
  <c r="AN34" i="338"/>
  <c r="AS9" i="338"/>
  <c r="AR9" i="338"/>
  <c r="AR51" i="338"/>
  <c r="AN42" i="338"/>
  <c r="AM54" i="338"/>
  <c r="AM18" i="338"/>
  <c r="AN41" i="338"/>
  <c r="AM17" i="338"/>
  <c r="AR11" i="338"/>
  <c r="AN18" i="338"/>
  <c r="AN17" i="338"/>
  <c r="AS11" i="338"/>
  <c r="AR54" i="338"/>
  <c r="AS15" i="338"/>
  <c r="AN51" i="338"/>
  <c r="AR53" i="338"/>
  <c r="AM29" i="338"/>
  <c r="AR35" i="338"/>
  <c r="AN45" i="338"/>
  <c r="AN50" i="338"/>
  <c r="AN11" i="338"/>
  <c r="AN16" i="338"/>
  <c r="AS51" i="338"/>
  <c r="AM31" i="338"/>
  <c r="AM50" i="338"/>
  <c r="AM11" i="338"/>
  <c r="AM16" i="338"/>
  <c r="AR38" i="338"/>
  <c r="AN33" i="338"/>
  <c r="AR47" i="338"/>
  <c r="AS35" i="338"/>
  <c r="AM45" i="338"/>
  <c r="AM42" i="338"/>
  <c r="AS38" i="338"/>
  <c r="AM14" i="338"/>
  <c r="AM46" i="338"/>
  <c r="AS48" i="338"/>
  <c r="AN8" i="338"/>
  <c r="AS17" i="338"/>
  <c r="AS49" i="338"/>
  <c r="AN15" i="338"/>
  <c r="AN52" i="338"/>
  <c r="AS42" i="338"/>
  <c r="AS31" i="338"/>
  <c r="AM8" i="338"/>
  <c r="AR17" i="338"/>
  <c r="AR49" i="338"/>
  <c r="AM15" i="338"/>
  <c r="AM52" i="338"/>
  <c r="AR42" i="338"/>
  <c r="AR31" i="338"/>
  <c r="AM13" i="338"/>
  <c r="AN13" i="338"/>
  <c r="AN48" i="338"/>
  <c r="AS53" i="338"/>
  <c r="N8" i="338" l="1"/>
  <c r="R20" i="252"/>
  <c r="Q20" i="252"/>
  <c r="H20" i="252" a="1"/>
  <c r="H20" i="252" l="1"/>
  <c r="K20" i="252" l="1"/>
  <c r="I20" i="252"/>
  <c r="U19" i="252" l="1"/>
  <c r="V19" i="252"/>
  <c r="R19" i="252" l="1"/>
  <c r="Q19" i="252"/>
  <c r="H19" i="252" a="1"/>
  <c r="H19" i="252" l="1"/>
  <c r="K19" i="252" l="1"/>
  <c r="I19" i="252"/>
  <c r="V18" i="252" l="1"/>
  <c r="U18" i="252"/>
  <c r="R18" i="252" l="1"/>
  <c r="Q18" i="252"/>
  <c r="H18" i="252" a="1"/>
  <c r="H18" i="252" l="1"/>
  <c r="K18" i="252" l="1"/>
  <c r="I18" i="252"/>
  <c r="U17" i="252" l="1"/>
  <c r="V17" i="252"/>
  <c r="R17" i="252" l="1"/>
  <c r="Q17" i="252"/>
  <c r="H17" i="252" a="1"/>
  <c r="H17" i="252" l="1"/>
  <c r="K17" i="252" l="1"/>
  <c r="I17" i="252"/>
  <c r="U16" i="252" l="1"/>
  <c r="V16" i="252"/>
  <c r="Q16" i="252" l="1"/>
  <c r="R16" i="252"/>
  <c r="H16" i="252" a="1"/>
  <c r="H16" i="252" l="1"/>
  <c r="K16" i="252" l="1"/>
  <c r="I16" i="252"/>
  <c r="H15" i="252" a="1"/>
  <c r="H15" i="252" l="1"/>
  <c r="C15" i="252" s="1"/>
  <c r="B15" i="252" l="1"/>
  <c r="A15" i="252" s="1"/>
  <c r="U14" i="252"/>
  <c r="V14" i="252"/>
  <c r="K15" i="252"/>
  <c r="I15" i="252"/>
  <c r="R14" i="252" l="1"/>
  <c r="Q14" i="252"/>
  <c r="H14" i="252" a="1"/>
  <c r="H14" i="252" l="1"/>
  <c r="K14" i="252" l="1"/>
  <c r="I14" i="252"/>
  <c r="H13" i="252" a="1"/>
  <c r="H13" i="252" l="1"/>
  <c r="K13" i="252" l="1"/>
  <c r="I13" i="252"/>
  <c r="H12" i="252" a="1"/>
  <c r="H12" i="252" l="1"/>
  <c r="C12" i="252" s="1"/>
  <c r="B12" i="252" l="1"/>
  <c r="A12" i="252" s="1"/>
  <c r="V11" i="252"/>
  <c r="U11" i="252"/>
  <c r="K12" i="252"/>
  <c r="I12" i="252"/>
  <c r="R11" i="252" l="1"/>
  <c r="Q11" i="252"/>
  <c r="H11" i="252" a="1"/>
  <c r="H11" i="252" l="1"/>
  <c r="K11" i="252" l="1"/>
  <c r="I11" i="252"/>
  <c r="U10" i="252" l="1"/>
  <c r="V10" i="252"/>
  <c r="R10" i="252" l="1"/>
  <c r="Q10" i="252"/>
  <c r="H10" i="252" a="1"/>
  <c r="H10" i="252" l="1"/>
  <c r="K10" i="252" l="1"/>
  <c r="I10" i="252"/>
  <c r="H9" i="252" a="1"/>
  <c r="H9" i="252" l="1"/>
  <c r="C9" i="252" s="1"/>
  <c r="B9" i="252" l="1"/>
  <c r="A9" i="252" s="1"/>
  <c r="V8" i="252"/>
  <c r="U8" i="252"/>
  <c r="K9" i="252"/>
  <c r="I9" i="252"/>
  <c r="R8" i="252" l="1"/>
  <c r="Q8" i="252"/>
  <c r="H8" i="252" a="1"/>
  <c r="H8" i="252" l="1"/>
  <c r="K8" i="252" l="1"/>
  <c r="I8" i="252"/>
  <c r="V7" i="252" l="1"/>
  <c r="U7" i="252"/>
  <c r="R7" i="252" l="1"/>
  <c r="Q7" i="252"/>
  <c r="H7" i="252" a="1"/>
  <c r="H7" i="252" l="1"/>
  <c r="K7" i="252" l="1"/>
  <c r="I7" i="252"/>
  <c r="H6" i="252" a="1"/>
  <c r="H6" i="252" l="1"/>
  <c r="C6" i="252" s="1"/>
  <c r="J36" i="530"/>
  <c r="J37" i="530" s="1"/>
  <c r="J38" i="530" s="1"/>
  <c r="I36" i="530"/>
  <c r="I37" i="530" s="1"/>
  <c r="I38" i="530" s="1"/>
  <c r="H36" i="530"/>
  <c r="H37" i="530" s="1"/>
  <c r="H38" i="530" s="1"/>
  <c r="G36" i="530"/>
  <c r="G37" i="530" s="1"/>
  <c r="G38" i="530" s="1"/>
  <c r="F36" i="530"/>
  <c r="F37" i="530" s="1"/>
  <c r="F38" i="530" s="1"/>
  <c r="C36" i="530"/>
  <c r="J33" i="530"/>
  <c r="J34" i="530" s="1"/>
  <c r="J39" i="530" s="1"/>
  <c r="J40" i="530" s="1"/>
  <c r="I33" i="530"/>
  <c r="I34" i="530" s="1"/>
  <c r="I39" i="530" s="1"/>
  <c r="I40" i="530" s="1"/>
  <c r="H33" i="530"/>
  <c r="H34" i="530" s="1"/>
  <c r="H39" i="530" s="1"/>
  <c r="H40" i="530" s="1"/>
  <c r="G33" i="530"/>
  <c r="G34" i="530" s="1"/>
  <c r="G39" i="530" s="1"/>
  <c r="G40" i="530" s="1"/>
  <c r="F33" i="530"/>
  <c r="F34" i="530" s="1"/>
  <c r="F39" i="530" s="1"/>
  <c r="F40" i="530" s="1"/>
  <c r="E33" i="530"/>
  <c r="D33" i="530"/>
  <c r="D32" i="530"/>
  <c r="C34" i="530" s="1"/>
  <c r="C29" i="530"/>
  <c r="J27" i="530"/>
  <c r="C27" i="530"/>
  <c r="D26" i="530"/>
  <c r="A26" i="530"/>
  <c r="D25" i="530"/>
  <c r="U23" i="530"/>
  <c r="U24" i="530" s="1"/>
  <c r="C20" i="530"/>
  <c r="J19" i="530"/>
  <c r="L19" i="530" s="1"/>
  <c r="L18" i="530"/>
  <c r="L20" i="530" s="1"/>
  <c r="M20" i="530" s="1"/>
  <c r="D17" i="530"/>
  <c r="D16" i="530"/>
  <c r="C18" i="530" s="1"/>
  <c r="J14" i="530"/>
  <c r="J15" i="530" s="1"/>
  <c r="J16" i="530" s="1"/>
  <c r="G14" i="530"/>
  <c r="F12" i="530"/>
  <c r="C10" i="530"/>
  <c r="D7" i="530"/>
  <c r="D6" i="530"/>
  <c r="C8" i="530" s="1"/>
  <c r="F3" i="530"/>
  <c r="F4" i="530" s="1"/>
  <c r="B6" i="252" l="1"/>
  <c r="A6" i="252" s="1"/>
  <c r="H42" i="530"/>
  <c r="H41" i="530"/>
  <c r="I42" i="530"/>
  <c r="I41" i="530"/>
  <c r="G42" i="530"/>
  <c r="G41" i="530"/>
  <c r="L16" i="530"/>
  <c r="K16" i="530"/>
  <c r="F41" i="530"/>
  <c r="F42" i="530"/>
  <c r="J42" i="530"/>
  <c r="J41" i="530"/>
  <c r="K6" i="252"/>
  <c r="I6" i="25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<sst xmlns="http://schemas.openxmlformats.org/spreadsheetml/2006/main" count="16945" uniqueCount="2501">
  <si>
    <t>SPY</t>
  </si>
  <si>
    <t>Vol</t>
  </si>
  <si>
    <t>ESA</t>
  </si>
  <si>
    <t>RSP</t>
  </si>
  <si>
    <t>XLP</t>
  </si>
  <si>
    <t>Price</t>
  </si>
  <si>
    <t>KBWB</t>
  </si>
  <si>
    <t>NAME</t>
  </si>
  <si>
    <t>LAST_PRICE</t>
  </si>
  <si>
    <t>HIGH_52WEEK</t>
  </si>
  <si>
    <t>HIGH_DT_52WEEK</t>
  </si>
  <si>
    <t>LOW_52WEEK</t>
  </si>
  <si>
    <t>LOW_DT_52WEEK</t>
  </si>
  <si>
    <t>best_PE_RATIO</t>
  </si>
  <si>
    <t>BEST_ROE</t>
  </si>
  <si>
    <t>P/E Median</t>
  </si>
  <si>
    <t>P/E +1SD</t>
  </si>
  <si>
    <t>P/E -1SD</t>
  </si>
  <si>
    <t>FUND_PCT_PREMIUM</t>
  </si>
  <si>
    <t>P/E Historical - 7yr Range</t>
  </si>
  <si>
    <t>Risk / Reward</t>
  </si>
  <si>
    <t>From Bottom</t>
  </si>
  <si>
    <t>From Peak</t>
  </si>
  <si>
    <t>Chg % vs 23/9</t>
  </si>
  <si>
    <t>Price 23/9</t>
  </si>
  <si>
    <t>Chg % vs High</t>
  </si>
  <si>
    <t>52W High</t>
  </si>
  <si>
    <t>High Date</t>
  </si>
  <si>
    <t>52W low</t>
  </si>
  <si>
    <t>Low Date</t>
  </si>
  <si>
    <t>P/E Fwd</t>
  </si>
  <si>
    <t>Vs Median</t>
  </si>
  <si>
    <t>Vs +1SD</t>
  </si>
  <si>
    <t>ROE Fwd</t>
  </si>
  <si>
    <t>Median</t>
  </si>
  <si>
    <t>+1SD</t>
  </si>
  <si>
    <t>-1SD</t>
  </si>
  <si>
    <t>ASHR Equity</t>
  </si>
  <si>
    <t>ASHR</t>
  </si>
  <si>
    <t>ADR</t>
  </si>
  <si>
    <t>CSIN0301 Index</t>
  </si>
  <si>
    <t>Local ETF (ASHR)</t>
  </si>
  <si>
    <t>SHSZ300 Index</t>
  </si>
  <si>
    <t>Local Index</t>
  </si>
  <si>
    <t>FXI Equity</t>
  </si>
  <si>
    <t>FXI</t>
  </si>
  <si>
    <t>TXIN0UNU Index</t>
  </si>
  <si>
    <t>Local ETF (FXI)</t>
  </si>
  <si>
    <t>XIN9I Index</t>
  </si>
  <si>
    <t>KWEB Equity</t>
  </si>
  <si>
    <t>KWEB</t>
  </si>
  <si>
    <t>H11137 Index</t>
  </si>
  <si>
    <t>Local ETF (KWEB)</t>
  </si>
  <si>
    <t>HSTECH Index</t>
  </si>
  <si>
    <t>MCHI US Equity</t>
  </si>
  <si>
    <t>MCHI</t>
  </si>
  <si>
    <t>NDEUCHF Index</t>
  </si>
  <si>
    <t>Local ETF (MCHI)</t>
  </si>
  <si>
    <t>MXCN Index</t>
  </si>
  <si>
    <t>HSI Index</t>
  </si>
  <si>
    <t>HSCEI Index</t>
  </si>
  <si>
    <t>SHCOMP Index</t>
  </si>
  <si>
    <t>Return</t>
  </si>
  <si>
    <t>Exp</t>
  </si>
  <si>
    <t>Longs</t>
  </si>
  <si>
    <t>Shorts</t>
  </si>
  <si>
    <t>Net</t>
  </si>
  <si>
    <t>Gross</t>
  </si>
  <si>
    <t>USD return</t>
  </si>
  <si>
    <t>BRL return</t>
  </si>
  <si>
    <t>Ex Gold</t>
  </si>
  <si>
    <t>KRE</t>
  </si>
  <si>
    <t>Row Labels</t>
  </si>
  <si>
    <t>Average of % Chg</t>
  </si>
  <si>
    <t>Sum of 
P&amp;L bps</t>
  </si>
  <si>
    <t>Sum of D1 Exp %</t>
  </si>
  <si>
    <t>Sum of Option Exp %</t>
  </si>
  <si>
    <t>Sum of Exp %</t>
  </si>
  <si>
    <t>Index</t>
  </si>
  <si>
    <t>AAPL</t>
  </si>
  <si>
    <t>COIN</t>
  </si>
  <si>
    <t>META</t>
  </si>
  <si>
    <t>TTWO</t>
  </si>
  <si>
    <t>UBER</t>
  </si>
  <si>
    <t>Financials</t>
  </si>
  <si>
    <t>BRK/B</t>
  </si>
  <si>
    <t>MA</t>
  </si>
  <si>
    <t>V</t>
  </si>
  <si>
    <t>XLF</t>
  </si>
  <si>
    <t>IGV</t>
  </si>
  <si>
    <t>MSFT</t>
  </si>
  <si>
    <t>Gold</t>
  </si>
  <si>
    <t>LYSDY</t>
  </si>
  <si>
    <t>MP</t>
  </si>
  <si>
    <t>NVDA</t>
  </si>
  <si>
    <t>SOXX</t>
  </si>
  <si>
    <t>TSM</t>
  </si>
  <si>
    <t>Grand Total</t>
  </si>
  <si>
    <t>XXXX</t>
  </si>
  <si>
    <t>Long</t>
  </si>
  <si>
    <t>Short</t>
  </si>
  <si>
    <t>Expo Long</t>
  </si>
  <si>
    <t>Expo Short</t>
  </si>
  <si>
    <t>% Chg</t>
  </si>
  <si>
    <t>Pair</t>
  </si>
  <si>
    <t>Daily Z</t>
  </si>
  <si>
    <t>Imp Vol</t>
  </si>
  <si>
    <t>Vol 30D</t>
  </si>
  <si>
    <t>Cor 126D</t>
  </si>
  <si>
    <t xml:space="preserve">% 2D </t>
  </si>
  <si>
    <t xml:space="preserve">% 5D </t>
  </si>
  <si>
    <t>% 52H</t>
  </si>
  <si>
    <t>% 52L</t>
  </si>
  <si>
    <t>RSI</t>
  </si>
  <si>
    <t>Target</t>
  </si>
  <si>
    <t>Stop</t>
  </si>
  <si>
    <t>Cost</t>
  </si>
  <si>
    <t>Next Event Long</t>
  </si>
  <si>
    <t>Next Event Short</t>
  </si>
  <si>
    <t>SI Days Long</t>
  </si>
  <si>
    <t>SI Days Short</t>
  </si>
  <si>
    <t>SI % FF Long</t>
  </si>
  <si>
    <t>SI % FF Short</t>
  </si>
  <si>
    <t>EPS Revsn 4W</t>
  </si>
  <si>
    <t>EPS Revsn 13W</t>
  </si>
  <si>
    <t>P/E</t>
  </si>
  <si>
    <t>EPS BF Long</t>
  </si>
  <si>
    <t>EPS BF Short</t>
  </si>
  <si>
    <t>BKNG</t>
  </si>
  <si>
    <t>ABNB</t>
  </si>
  <si>
    <t>.XLFBRK</t>
  </si>
  <si>
    <t>GDX</t>
  </si>
  <si>
    <t>NEM</t>
  </si>
  <si>
    <t>EXPE</t>
  </si>
  <si>
    <t>CRM</t>
  </si>
  <si>
    <t>QQQ</t>
  </si>
  <si>
    <t>SMH</t>
  </si>
  <si>
    <t>AVGO</t>
  </si>
  <si>
    <t>MRVL</t>
  </si>
  <si>
    <t>.NEPOWQQQ</t>
  </si>
  <si>
    <t>GSENEPOW</t>
  </si>
  <si>
    <t>.NEPOWXLU</t>
  </si>
  <si>
    <t>XLU</t>
  </si>
  <si>
    <t>QQQE</t>
  </si>
  <si>
    <t>IWM</t>
  </si>
  <si>
    <t>Mid</t>
  </si>
  <si>
    <t>Entry</t>
  </si>
  <si>
    <t>vol 30D</t>
  </si>
  <si>
    <t>EFA</t>
  </si>
  <si>
    <t>FEZ</t>
  </si>
  <si>
    <t>vol 10D</t>
  </si>
  <si>
    <t>X</t>
  </si>
  <si>
    <t>TOTAL</t>
  </si>
  <si>
    <t>"C:\Users\dgroz\OneDrive - Capstone\Documents\CAPSTONE\Gerencial\Apoio\Relatorios de Posicao\2024 09 06 - Relatorio Posicao Equity.xlsx"</t>
  </si>
  <si>
    <t>SPX</t>
  </si>
  <si>
    <t>D1 Exp %</t>
  </si>
  <si>
    <t>D1 P&amp;L bps</t>
  </si>
  <si>
    <t>Option Exp %</t>
  </si>
  <si>
    <t>Options P&amp;L bps</t>
  </si>
  <si>
    <t>Exp %</t>
  </si>
  <si>
    <t>P&amp;L bps</t>
  </si>
  <si>
    <t>Returns %</t>
  </si>
  <si>
    <t>Alpha %</t>
  </si>
  <si>
    <t>Alpha Cont bps</t>
  </si>
  <si>
    <t>Beta Cont bps</t>
  </si>
  <si>
    <t>Beta Adj Exp %</t>
  </si>
  <si>
    <t>AuM USD (beg day)</t>
  </si>
  <si>
    <t>CapsOne</t>
  </si>
  <si>
    <t>Zenith</t>
  </si>
  <si>
    <t>Total</t>
  </si>
  <si>
    <t>Ano</t>
  </si>
  <si>
    <t xml:space="preserve">Mês </t>
  </si>
  <si>
    <t>Dia</t>
  </si>
  <si>
    <t>Ticker</t>
  </si>
  <si>
    <t>Product</t>
  </si>
  <si>
    <t>Crncy</t>
  </si>
  <si>
    <t>Long / Short</t>
  </si>
  <si>
    <t xml:space="preserve">Qtdd </t>
  </si>
  <si>
    <t>Price Today</t>
  </si>
  <si>
    <t>Price Yest</t>
  </si>
  <si>
    <t>FX</t>
  </si>
  <si>
    <t>Mult</t>
  </si>
  <si>
    <t>D1 Exp USD</t>
  </si>
  <si>
    <t>Options Exp USD (delta adj)</t>
  </si>
  <si>
    <t>xx</t>
  </si>
  <si>
    <t>Ticker2</t>
  </si>
  <si>
    <t>xx2</t>
  </si>
  <si>
    <t>Expo Beta Adj</t>
  </si>
  <si>
    <t>Beta Adj</t>
  </si>
  <si>
    <t>VALUE</t>
  </si>
  <si>
    <t>Report Date2</t>
  </si>
  <si>
    <t>Column3</t>
  </si>
  <si>
    <t>Column4</t>
  </si>
  <si>
    <t>PnL Cash</t>
  </si>
  <si>
    <t>USD</t>
  </si>
  <si>
    <t>HCTK5</t>
  </si>
  <si>
    <t>4EJ5P 4700</t>
  </si>
  <si>
    <t>1,0X</t>
  </si>
  <si>
    <t>Option Ticker</t>
  </si>
  <si>
    <t>Call / Put</t>
  </si>
  <si>
    <t>Underlying</t>
  </si>
  <si>
    <t>Expiry</t>
  </si>
  <si>
    <t>Days to Expiry</t>
  </si>
  <si>
    <t>Currency</t>
  </si>
  <si>
    <t>Qtt</t>
  </si>
  <si>
    <t>Price BTG</t>
  </si>
  <si>
    <t>Price Yest Close</t>
  </si>
  <si>
    <t>Last Price</t>
  </si>
  <si>
    <t>% of spot</t>
  </si>
  <si>
    <t>Bid</t>
  </si>
  <si>
    <t>Ask</t>
  </si>
  <si>
    <t>Bid / Ask Spread</t>
  </si>
  <si>
    <t>Prem Exp USD</t>
  </si>
  <si>
    <t>Prem bps</t>
  </si>
  <si>
    <t>Ex-Intrins bps</t>
  </si>
  <si>
    <t>Intrins Value</t>
  </si>
  <si>
    <t>Prem minus Intrins</t>
  </si>
  <si>
    <t>Under-lying Price</t>
  </si>
  <si>
    <t>Strike</t>
  </si>
  <si>
    <t>% OTM</t>
  </si>
  <si>
    <t>Delta</t>
  </si>
  <si>
    <t>Exp % (delta adj)</t>
  </si>
  <si>
    <t>Exp USD (delta adj)</t>
  </si>
  <si>
    <t>Theta</t>
  </si>
  <si>
    <t>Theta USD</t>
  </si>
  <si>
    <t>Theta bps</t>
  </si>
  <si>
    <t>P&amp;L USD</t>
  </si>
  <si>
    <t>Next Earnings</t>
  </si>
  <si>
    <t>Delta 1</t>
  </si>
  <si>
    <t>Notional</t>
  </si>
  <si>
    <t>Gamma</t>
  </si>
  <si>
    <t>LAST PRICE value</t>
  </si>
  <si>
    <t>BRL VALUE</t>
  </si>
  <si>
    <t>P&amp;L BRL</t>
  </si>
  <si>
    <t>INTC US 12/19/25 P10</t>
  </si>
  <si>
    <t>COIN US 06/20/25 C210</t>
  </si>
  <si>
    <t>COIN US 06/20/25 C240</t>
  </si>
  <si>
    <t>GDX US 06/20/25 C52</t>
  </si>
  <si>
    <t>GDX US 06/20/25 C56</t>
  </si>
  <si>
    <t>GDX US 06/20/25 C50</t>
  </si>
  <si>
    <t>GDX US 06/20/25 C55</t>
  </si>
  <si>
    <t>GDX US 07/18/25 C50</t>
  </si>
  <si>
    <t>GDX US 07/18/25 C55</t>
  </si>
  <si>
    <t>Prem Exp bps</t>
  </si>
  <si>
    <t>Last PX</t>
  </si>
  <si>
    <t>Theta % of Spot</t>
  </si>
  <si>
    <t>CALL near</t>
  </si>
  <si>
    <t>Buy</t>
  </si>
  <si>
    <t>Sell</t>
  </si>
  <si>
    <t>Far/near</t>
  </si>
  <si>
    <t>Prem</t>
  </si>
  <si>
    <t>Interval</t>
  </si>
  <si>
    <t>Delta adj</t>
  </si>
  <si>
    <t>Payoff</t>
  </si>
  <si>
    <t>CALL far</t>
  </si>
  <si>
    <t>Put Spread - Buy to Open</t>
  </si>
  <si>
    <t>PUT near</t>
  </si>
  <si>
    <t>RSP US 03/21/25 P175 -&gt; Sell to close 500x</t>
  </si>
  <si>
    <t>RSP US 04/17/25 P170 -&gt; Buy to open 750x</t>
  </si>
  <si>
    <t xml:space="preserve">S&amp;P 500 </t>
  </si>
  <si>
    <t>S&amp;P 500</t>
  </si>
  <si>
    <t>SCH5C   6150</t>
  </si>
  <si>
    <t>SCH5C   6250</t>
  </si>
  <si>
    <t>SCH5C   6200</t>
  </si>
  <si>
    <t>SCH5C   6300</t>
  </si>
  <si>
    <t>Nasdaq</t>
  </si>
  <si>
    <t>4OX4C    20500</t>
  </si>
  <si>
    <t>3OF5C    22500</t>
  </si>
  <si>
    <t>Rusell 2000</t>
  </si>
  <si>
    <t>RFSWZ4C3 2360</t>
  </si>
  <si>
    <t>RFSWZ4C3 2400</t>
  </si>
  <si>
    <t>MRYWZ4C4 2390</t>
  </si>
  <si>
    <t>3EQ5P    5000</t>
  </si>
  <si>
    <t>NVDA US 12/20/24 C130 - Sell to open 1000x</t>
  </si>
  <si>
    <t>NVDA US 12/20/24 C120 -&gt; Sell to open 2000x</t>
  </si>
  <si>
    <t>NVDA US 12/20/24 C105 -&gt; Buy to open 2000x</t>
  </si>
  <si>
    <t>KWEB US 04/17/25 C38</t>
  </si>
  <si>
    <t>KWEB US 04/17/25 C41</t>
  </si>
  <si>
    <t>META US 05/02/25 C540</t>
  </si>
  <si>
    <t>META US 05/02/25 C580</t>
  </si>
  <si>
    <t>META US 06/20/25 C560</t>
  </si>
  <si>
    <t>META US 06/20/25 C610</t>
  </si>
  <si>
    <t>EQTY.IntlUS.off</t>
  </si>
  <si>
    <t>EQTY.InternacionalUS2.off</t>
  </si>
  <si>
    <t>Ticker (Daniel)</t>
  </si>
  <si>
    <t>Carteira (Daniel)</t>
  </si>
  <si>
    <t>Amount (APM)</t>
  </si>
  <si>
    <t>Dif (APM)</t>
  </si>
  <si>
    <t>Amount (Daniel)</t>
  </si>
  <si>
    <t>Amount (Saraiva)</t>
  </si>
  <si>
    <t>Dif (Books)</t>
  </si>
  <si>
    <t>Total FUNDO</t>
  </si>
  <si>
    <t>Ticker (APM)</t>
  </si>
  <si>
    <t>Amount</t>
  </si>
  <si>
    <t>Dif</t>
  </si>
  <si>
    <t>Cash CAD</t>
  </si>
  <si>
    <t>Cash CHF</t>
  </si>
  <si>
    <t>Cash CNH</t>
  </si>
  <si>
    <t>Cash EUR</t>
  </si>
  <si>
    <t>Cash GBP</t>
  </si>
  <si>
    <t>Cash HKD</t>
  </si>
  <si>
    <t>Cash KRW</t>
  </si>
  <si>
    <t>Cash USD</t>
  </si>
  <si>
    <t>GOOGL</t>
  </si>
  <si>
    <t>GSC1000P 03/20/26 C79.50</t>
  </si>
  <si>
    <t>NTGR</t>
  </si>
  <si>
    <t>Provision ETF USD_</t>
  </si>
  <si>
    <t>Provision US Equity USD_</t>
  </si>
  <si>
    <t>S&amp;P500 E-mini Options Expiration USD_</t>
  </si>
  <si>
    <t>SPY US 05/30/25 P505</t>
  </si>
  <si>
    <t>SPY US 05/30/25 P545</t>
  </si>
  <si>
    <t/>
  </si>
  <si>
    <t>Product Class</t>
  </si>
  <si>
    <t>Book</t>
  </si>
  <si>
    <t>YestAmount</t>
  </si>
  <si>
    <t>S&amp;P500 E-mini Options</t>
  </si>
  <si>
    <t>3EQ5P 5000</t>
  </si>
  <si>
    <t>US Equity</t>
  </si>
  <si>
    <t>Provisions and Costs</t>
  </si>
  <si>
    <t>US Equity Options</t>
  </si>
  <si>
    <t>ETF</t>
  </si>
  <si>
    <t>Cash</t>
  </si>
  <si>
    <t>S&amp;P500 E-mini Futures</t>
  </si>
  <si>
    <t>ESM5</t>
  </si>
  <si>
    <t>ETF Options</t>
  </si>
  <si>
    <t>Basket Index Options</t>
  </si>
  <si>
    <t>META US</t>
  </si>
  <si>
    <t>ADR Options</t>
  </si>
  <si>
    <t>2EK5P 5000</t>
  </si>
  <si>
    <t>2EK5P 5100</t>
  </si>
  <si>
    <t>2EK5P 5150</t>
  </si>
  <si>
    <t>2EK5P 5250</t>
  </si>
  <si>
    <t>2EK5P 5400</t>
  </si>
  <si>
    <t>COIN US 05/02/25 C205</t>
  </si>
  <si>
    <t>COIN US 05/02/25 C225</t>
  </si>
  <si>
    <t>HCTJ5</t>
  </si>
  <si>
    <t>Provision ETF Options USD_</t>
  </si>
  <si>
    <t>Provision US Equity Options USD_</t>
  </si>
  <si>
    <t>QQQ DIVIDEND_</t>
  </si>
  <si>
    <t>Data</t>
  </si>
  <si>
    <t>Ajuste</t>
  </si>
  <si>
    <t>D+1 adjust</t>
  </si>
  <si>
    <t>Dia Referencia</t>
  </si>
  <si>
    <t>.</t>
  </si>
  <si>
    <t>De (Lote)</t>
  </si>
  <si>
    <t>Para (Ticker Daniel)</t>
  </si>
  <si>
    <t>Input_One</t>
  </si>
  <si>
    <t>NOW</t>
  </si>
  <si>
    <t>Input_Zenith</t>
  </si>
  <si>
    <t>SWAP GSTMTAIS 22JAN2025 19JAN2026 118.3726</t>
  </si>
  <si>
    <t>GSTMTAIS</t>
  </si>
  <si>
    <t>SWAP GSTMTAIS 24JAN2025 22JAN2026 123.562</t>
  </si>
  <si>
    <t>SWAP GSTMTAIS 31JAN2025 29JAN2026 125.2757</t>
  </si>
  <si>
    <t>RDDT</t>
  </si>
  <si>
    <t>SWAP 3661 TT 23JAN2025 22JAN2026 89.8239</t>
  </si>
  <si>
    <t>3661 TT</t>
  </si>
  <si>
    <t>STX</t>
  </si>
  <si>
    <t>MLPX</t>
  </si>
  <si>
    <t>ESH5</t>
  </si>
  <si>
    <t>VGH5</t>
  </si>
  <si>
    <t>VGA</t>
  </si>
  <si>
    <t>SWAP UXAH5 02DEC2024 31MAR2025 79.25</t>
  </si>
  <si>
    <t>UXAH5</t>
  </si>
  <si>
    <t>SWAP UXAH5 02DEC2024 31MAR2025 79.75</t>
  </si>
  <si>
    <t>U-U CN</t>
  </si>
  <si>
    <t>YCA LN</t>
  </si>
  <si>
    <t>SWAP 3661 TT 11FEB2025 11FEB2026 103.8209</t>
  </si>
  <si>
    <t>SWAP GSENEPOW 10FEB2025 09FEB2026 157.212</t>
  </si>
  <si>
    <t>SWAP GSENEPOW 11FEB2025 09FEB2026 158.5867</t>
  </si>
  <si>
    <t>GSXECEAS</t>
  </si>
  <si>
    <t>SWAP MSAPCACC 26FEB2025 24FEB2026 1185.2033</t>
  </si>
  <si>
    <t>MSAPCACC</t>
  </si>
  <si>
    <t>SWAP MSAPCATE 26FEB2025 24FEB2026 96.1324</t>
  </si>
  <si>
    <t>MSAPCATE</t>
  </si>
  <si>
    <t>SWAP MSAPCACC 27FEB2025 25FEB2026 1148.4593</t>
  </si>
  <si>
    <t>SWAP MSAPCATE 27FEB2025 25FEB2026 94.5188</t>
  </si>
  <si>
    <t>SWAP GSCBDEDC 11MAR2025 10MAR2026 110.3534</t>
  </si>
  <si>
    <t>SWAP GSXACHAI 10MAR2025 10MAR2026 136.8834</t>
  </si>
  <si>
    <t>GSXACHAI</t>
  </si>
  <si>
    <t>SWAP GSXECEAS 10MAR2025 10MAR2026 109.8798</t>
  </si>
  <si>
    <t>SWAP GSXEGFSC 11MAR2025 10MAR2026 107.5275</t>
  </si>
  <si>
    <t>GSXEGFSC</t>
  </si>
  <si>
    <t>SWAP GSXEGFSC 12MAR2025 10MAR2026 105.048</t>
  </si>
  <si>
    <t>SWAP GSXEGFSC 18MAR2025 17MAR2026 108.596</t>
  </si>
  <si>
    <t>SWAP GSXEGFSC 18MAR2025 17MAR2026 108.8994</t>
  </si>
  <si>
    <t>4EJ5P 5200</t>
  </si>
  <si>
    <t>4EJ5P    5200</t>
  </si>
  <si>
    <t>4EJ5P 5000</t>
  </si>
  <si>
    <t>4EJ5P    5000</t>
  </si>
  <si>
    <t>4EJ5P    4700</t>
  </si>
  <si>
    <t>4EJ5P 5100</t>
  </si>
  <si>
    <t>4EJ5P    5100</t>
  </si>
  <si>
    <t>SIKA SW</t>
  </si>
  <si>
    <t>GoldmanBank</t>
  </si>
  <si>
    <t>BankAmerica</t>
  </si>
  <si>
    <t>GEBN SW</t>
  </si>
  <si>
    <t>Citibank</t>
  </si>
  <si>
    <t>BTG Pactual</t>
  </si>
  <si>
    <t>BPS</t>
  </si>
  <si>
    <t>AMZN</t>
  </si>
  <si>
    <t>ACN</t>
  </si>
  <si>
    <t>XRT</t>
  </si>
  <si>
    <t>XP</t>
  </si>
  <si>
    <t>JPMorgan</t>
  </si>
  <si>
    <t>FCStone</t>
  </si>
  <si>
    <t>Canaccord</t>
  </si>
  <si>
    <t>Susquehanna</t>
  </si>
  <si>
    <t>Itau</t>
  </si>
  <si>
    <t>CITADEL</t>
  </si>
  <si>
    <t>BankAmericaISDA</t>
  </si>
  <si>
    <t>ICAP</t>
  </si>
  <si>
    <t>MorganStNY</t>
  </si>
  <si>
    <t>22V</t>
  </si>
  <si>
    <t>Jefferies</t>
  </si>
  <si>
    <t>US</t>
  </si>
  <si>
    <t>BZ</t>
  </si>
  <si>
    <t>CHINA CDS</t>
  </si>
  <si>
    <t>CNH CS AGO 7,33/7,47</t>
  </si>
  <si>
    <t>CNH CS DEZ 7,35/7,50</t>
  </si>
  <si>
    <t>Itraxx</t>
  </si>
  <si>
    <t>DB</t>
  </si>
  <si>
    <t>Soc Gen</t>
  </si>
  <si>
    <t>Barclays</t>
  </si>
  <si>
    <t>Points</t>
  </si>
  <si>
    <t>DV01</t>
  </si>
  <si>
    <t>Size</t>
  </si>
  <si>
    <t>PRODUCT</t>
  </si>
  <si>
    <t>QTDE/CURNCY1</t>
  </si>
  <si>
    <t>QTDE/CURNCY2</t>
  </si>
  <si>
    <t>BOOK</t>
  </si>
  <si>
    <t>PRODUCT CLASS</t>
  </si>
  <si>
    <t>SETTLE DEALER</t>
  </si>
  <si>
    <t>FUNDO</t>
  </si>
  <si>
    <t>2EH5P 5725</t>
  </si>
  <si>
    <t>CAPSTONE ONE</t>
  </si>
  <si>
    <t>2EH5P 5850</t>
  </si>
  <si>
    <t>2EH5P 6000</t>
  </si>
  <si>
    <t>EQTY.Intl.off</t>
  </si>
  <si>
    <t>AALB NA</t>
  </si>
  <si>
    <t>EUR Equity</t>
  </si>
  <si>
    <t>EQTY.Direcional.off</t>
  </si>
  <si>
    <t>LOTE45</t>
  </si>
  <si>
    <t>EQTY.LongBias.off</t>
  </si>
  <si>
    <t>ABEV</t>
  </si>
  <si>
    <t>ACRE</t>
  </si>
  <si>
    <t>Bernstein</t>
  </si>
  <si>
    <t>AFM CN</t>
  </si>
  <si>
    <t>CAD Equity</t>
  </si>
  <si>
    <t>AMD</t>
  </si>
  <si>
    <t>Merril Lynch</t>
  </si>
  <si>
    <t>AMZN US 06/20/25 C220</t>
  </si>
  <si>
    <t>AMZN US 06/20/25 C240</t>
  </si>
  <si>
    <t>ARCO</t>
  </si>
  <si>
    <t>ASHR US 03/21/25 C28</t>
  </si>
  <si>
    <t>ASHR US 03/21/25 C30</t>
  </si>
  <si>
    <t>ASHR US 04/17/25 C29</t>
  </si>
  <si>
    <t>ASHR US 04/17/25 C30</t>
  </si>
  <si>
    <t>ASML</t>
  </si>
  <si>
    <t>AVGO US 03/21/25 C205</t>
  </si>
  <si>
    <t>AVGO US 03/21/25 C235</t>
  </si>
  <si>
    <t>AX</t>
  </si>
  <si>
    <t>BABA</t>
  </si>
  <si>
    <t>BANBRA 6.25% 04/18/30</t>
  </si>
  <si>
    <t>EQTY.Credito.off</t>
  </si>
  <si>
    <t>Global Bonds</t>
  </si>
  <si>
    <t>BE</t>
  </si>
  <si>
    <t>BRFS</t>
  </si>
  <si>
    <t>BRFSBZ 4.35% 09/29/26</t>
  </si>
  <si>
    <t>BCP</t>
  </si>
  <si>
    <t>SMBC Nikko securities</t>
  </si>
  <si>
    <t>BSBR</t>
  </si>
  <si>
    <t>BTOWBZ 4.375% 12/20/30</t>
  </si>
  <si>
    <t>BTOWBZ 4.75% 10/20/30</t>
  </si>
  <si>
    <t>BUD</t>
  </si>
  <si>
    <t>EQTY.Pares.off</t>
  </si>
  <si>
    <t>BXMT</t>
  </si>
  <si>
    <t>CBRZ1U5 06/20/27</t>
  </si>
  <si>
    <t>CDS</t>
  </si>
  <si>
    <t>CBRZ1U5 06/20/28</t>
  </si>
  <si>
    <t>CHINAGOV 06/20/29</t>
  </si>
  <si>
    <t>EQTY.Absoluto.off</t>
  </si>
  <si>
    <t>DeutscheBank</t>
  </si>
  <si>
    <t>CHINAGOV 12/20/29</t>
  </si>
  <si>
    <t>CIBR</t>
  </si>
  <si>
    <t>COPX</t>
  </si>
  <si>
    <t>COZ5</t>
  </si>
  <si>
    <t>Brent Crude Futures - ICE</t>
  </si>
  <si>
    <t>COZ5C 100.0</t>
  </si>
  <si>
    <t>Brent Crude Options- ICE</t>
  </si>
  <si>
    <t>COZ5C 80.0</t>
  </si>
  <si>
    <t>COZ5P 65.0</t>
  </si>
  <si>
    <t>COZ6</t>
  </si>
  <si>
    <t>CPA</t>
  </si>
  <si>
    <t>CRM US 03/21/25 C310</t>
  </si>
  <si>
    <t>CRM US 03/21/25 C340</t>
  </si>
  <si>
    <t>CRM US 03/21/25 C345</t>
  </si>
  <si>
    <t>CRM US 03/21/25 C360</t>
  </si>
  <si>
    <t>CRM US 03/21/25 C380</t>
  </si>
  <si>
    <t>CRM US 03/21/25 C400</t>
  </si>
  <si>
    <t>DELL</t>
  </si>
  <si>
    <t>DG</t>
  </si>
  <si>
    <t>EA</t>
  </si>
  <si>
    <t>EEM</t>
  </si>
  <si>
    <t>EMXC</t>
  </si>
  <si>
    <t>ENC SM</t>
  </si>
  <si>
    <t>EPOL</t>
  </si>
  <si>
    <t>EQIX</t>
  </si>
  <si>
    <t>ERJ</t>
  </si>
  <si>
    <t>ESH5P 5600</t>
  </si>
  <si>
    <t>ESH5P 5800</t>
  </si>
  <si>
    <t>EWC</t>
  </si>
  <si>
    <t>EWC US 03/21/25 P39</t>
  </si>
  <si>
    <t>EWC US 03/21/25 P40</t>
  </si>
  <si>
    <t>EWT</t>
  </si>
  <si>
    <t>EWZ</t>
  </si>
  <si>
    <t>FEZ US 03/21/25 P53</t>
  </si>
  <si>
    <t>FND</t>
  </si>
  <si>
    <t>CHF Equity</t>
  </si>
  <si>
    <t>GOL</t>
  </si>
  <si>
    <t>GOLLQ</t>
  </si>
  <si>
    <t>HEEM</t>
  </si>
  <si>
    <t>HMB SS</t>
  </si>
  <si>
    <t>SEK Equity</t>
  </si>
  <si>
    <t>HYG</t>
  </si>
  <si>
    <t>ITRX EUR S41 SNR FIN 06/29</t>
  </si>
  <si>
    <t>CDS INDEX</t>
  </si>
  <si>
    <t>ITUB</t>
  </si>
  <si>
    <t>ITUB US 03/21/25 C6.20 OTC</t>
  </si>
  <si>
    <t>ITUB US 03/21/25 P5.35 OTC</t>
  </si>
  <si>
    <t>ITUB US 03/21/25 P5.75 OTC</t>
  </si>
  <si>
    <t>ITUB US 06/20/25 C5.99 OTC</t>
  </si>
  <si>
    <t>ITUB US 06/20/25 P4.50 OTC</t>
  </si>
  <si>
    <t>ITUB US 06/20/25 P5.25 OTC</t>
  </si>
  <si>
    <t>JBSAY</t>
  </si>
  <si>
    <t>KRE US 03/21/25 P57</t>
  </si>
  <si>
    <t>KRE US 03/21/25 P58</t>
  </si>
  <si>
    <t>KWEB US 03/21/25 C35</t>
  </si>
  <si>
    <t>KWEB US 03/21/25 C36</t>
  </si>
  <si>
    <t>KWEB US 03/21/25 C37</t>
  </si>
  <si>
    <t>KWEB US 03/21/25 C38</t>
  </si>
  <si>
    <t>KWEB US 03/21/25 C40</t>
  </si>
  <si>
    <t>LIGTBZ 4.375% 06/18/26</t>
  </si>
  <si>
    <t>LQD</t>
  </si>
  <si>
    <t>MCO</t>
  </si>
  <si>
    <t>MELI</t>
  </si>
  <si>
    <t>EQTY.LongBiasIndex.off</t>
  </si>
  <si>
    <t>MESH5</t>
  </si>
  <si>
    <t>MSCI Emerging Mkt Index Future - ICE</t>
  </si>
  <si>
    <t>META US 03/21/25 C710</t>
  </si>
  <si>
    <t>META US 03/21/25 C770</t>
  </si>
  <si>
    <t>META US 06/20/25 C690</t>
  </si>
  <si>
    <t>META US 06/20/25 C760</t>
  </si>
  <si>
    <t>MFLH5</t>
  </si>
  <si>
    <t>MDAX Mini Futures - EUREX</t>
  </si>
  <si>
    <t>MRFGBZ 7.00% 05/14/26</t>
  </si>
  <si>
    <t>MRNA US 03/21/25 C40</t>
  </si>
  <si>
    <t>MRVL US 03/07/25 C102</t>
  </si>
  <si>
    <t>MRVL US 03/07/25 C105</t>
  </si>
  <si>
    <t>MRVL US 03/07/25 C92</t>
  </si>
  <si>
    <t>MRVL US 03/07/25 C95</t>
  </si>
  <si>
    <t>MRVL US 03/21/25 C105</t>
  </si>
  <si>
    <t>MRVL US 03/21/25 C125</t>
  </si>
  <si>
    <t>MRVL US 03/21/25 C145</t>
  </si>
  <si>
    <t>MRVL US 05/16/25 C125</t>
  </si>
  <si>
    <t>MRVL US 05/16/25 C150</t>
  </si>
  <si>
    <t>MSFT US 03/21/25 C415</t>
  </si>
  <si>
    <t>MSFT US 03/21/25 C450</t>
  </si>
  <si>
    <t>MSFT US 12/19/25 C410</t>
  </si>
  <si>
    <t>MSFT US 12/19/25 C460</t>
  </si>
  <si>
    <t>MU</t>
  </si>
  <si>
    <t>NATURA 4.125% 05/03/28</t>
  </si>
  <si>
    <t>NATURA 6.00% 04/19/29</t>
  </si>
  <si>
    <t>NOW US 03/21/25 C1030</t>
  </si>
  <si>
    <t>NOW US 03/21/25 C1130</t>
  </si>
  <si>
    <t>NTCO</t>
  </si>
  <si>
    <t>NU</t>
  </si>
  <si>
    <t>NVDA US 03/21/25 C125</t>
  </si>
  <si>
    <t>NVDA US 03/21/25 C130</t>
  </si>
  <si>
    <t>NVDA US 03/21/25 C145</t>
  </si>
  <si>
    <t>NVDA US 03/21/25 C150</t>
  </si>
  <si>
    <t>NVDA US 06/20/25 C125</t>
  </si>
  <si>
    <t>NVDA US 06/20/25 C130</t>
  </si>
  <si>
    <t>NVDA US 06/20/25 C140</t>
  </si>
  <si>
    <t>NVDA US 06/20/25 C150</t>
  </si>
  <si>
    <t>PAGS</t>
  </si>
  <si>
    <t>PAX</t>
  </si>
  <si>
    <t>PBR</t>
  </si>
  <si>
    <t>EQTY.Arbitration.off</t>
  </si>
  <si>
    <t>PBR/A</t>
  </si>
  <si>
    <t>PDD</t>
  </si>
  <si>
    <t>PETROBRAS 06/20/27</t>
  </si>
  <si>
    <t>Goldman Sachs</t>
  </si>
  <si>
    <t>PETROBRAS 12/20/28</t>
  </si>
  <si>
    <t>PLJ5C 1100</t>
  </si>
  <si>
    <t>Platinum Future Options - NYMEX</t>
  </si>
  <si>
    <t>PLJ5C 1200</t>
  </si>
  <si>
    <t>PNDORA DC</t>
  </si>
  <si>
    <t>DKK Equity</t>
  </si>
  <si>
    <t>PPC</t>
  </si>
  <si>
    <t>PYPL</t>
  </si>
  <si>
    <t>PYPL US 03/21/25 C80</t>
  </si>
  <si>
    <t>PYPL US 03/21/25 C85</t>
  </si>
  <si>
    <t>QCOM</t>
  </si>
  <si>
    <t>QQQ US 03/10/25 C500</t>
  </si>
  <si>
    <t>QQQ US 03/10/25 C504</t>
  </si>
  <si>
    <t>QQQ US 03/10/25 C505</t>
  </si>
  <si>
    <t>QQQ US 03/10/25 C510</t>
  </si>
  <si>
    <t>RBLX</t>
  </si>
  <si>
    <t>RIO AU</t>
  </si>
  <si>
    <t>AUD Equity</t>
  </si>
  <si>
    <t>RIO US</t>
  </si>
  <si>
    <t>RTYH5</t>
  </si>
  <si>
    <t>Russell 2000 Index Mini Futures - CME</t>
  </si>
  <si>
    <t>S H5</t>
  </si>
  <si>
    <t>Soybeans Futures - CME</t>
  </si>
  <si>
    <t>SCOH5</t>
  </si>
  <si>
    <t>Iron Ore 62 Fe TSI - SGX</t>
  </si>
  <si>
    <t>RJOBrien</t>
  </si>
  <si>
    <t>SCOH5P 105</t>
  </si>
  <si>
    <t>Iron Ore 62 Fe TSI Options - SGX</t>
  </si>
  <si>
    <t>SCOM5</t>
  </si>
  <si>
    <t>SEAPT NO</t>
  </si>
  <si>
    <t>NOK Equity</t>
  </si>
  <si>
    <t>SIMHBZ 10.75% 02/12/28</t>
  </si>
  <si>
    <t>SMCI</t>
  </si>
  <si>
    <t>SMH US 03/14/25 C240</t>
  </si>
  <si>
    <t>SMH US 03/14/25 C245</t>
  </si>
  <si>
    <t>SNAP</t>
  </si>
  <si>
    <t>SPGI</t>
  </si>
  <si>
    <t>SPX Put 5800 19Sep25 VKO 22% 05Mar25-19Sep25</t>
  </si>
  <si>
    <t>Equity Euro Vol KO Options</t>
  </si>
  <si>
    <t>SPY US 03/07/25 P560</t>
  </si>
  <si>
    <t>SPY US 03/07/25 P565</t>
  </si>
  <si>
    <t>SPY US 03/07/25 P570</t>
  </si>
  <si>
    <t>STERV FH</t>
  </si>
  <si>
    <t>STNE</t>
  </si>
  <si>
    <t>SUZ</t>
  </si>
  <si>
    <t>SWAP GSCBBZEX 10JAN2025 01AUG2026 87.1184</t>
  </si>
  <si>
    <t>Total Return Swap - Cetip DI Spread</t>
  </si>
  <si>
    <t>Total Return Swap</t>
  </si>
  <si>
    <t>SWAP GSCBSMQB 16JAN2025 16JAN2026 105.1177</t>
  </si>
  <si>
    <t>SWAP GSCNSJNK 06MAR2025 06MAR2026 109.3596</t>
  </si>
  <si>
    <t>SWAP GSCNSJNK 25NOV2024 19NOV2025 111.3708</t>
  </si>
  <si>
    <t>SWAP GSENOILB 07FEB2025 04JUN2025 146.4745</t>
  </si>
  <si>
    <t>SWAP IVBX-2 05MAR2025 17APR2025 12995.7049</t>
  </si>
  <si>
    <t>SWAP IVBX-2 10JAN2025 17APR2025 12525.402</t>
  </si>
  <si>
    <t>SWAP IVBX-2 10JAN2025 17APR2025 12526.97</t>
  </si>
  <si>
    <t>SWAP IVBX-2 11FEB2025 17APR2025 12937.9043</t>
  </si>
  <si>
    <t>SWAP IVBX-2 21JAN2025 17APR2025 12505.9498</t>
  </si>
  <si>
    <t>SWAP IVBX-2 22JAN2025 17APR2025 12578.8969</t>
  </si>
  <si>
    <t>SWAP IVBX-2 26FEB2025 17APR2025 12936.1867</t>
  </si>
  <si>
    <t>SWAP IVBX-2 31JAN2025 17APR2025 12905.1912</t>
  </si>
  <si>
    <t>MorganStISDA</t>
  </si>
  <si>
    <t>SWAP MSCPIVB2 Index 07MAR2025 04JUN2025 12584.85</t>
  </si>
  <si>
    <t>SWAP MSCPSMAL 07MAR2025 04JUN2025 101.94</t>
  </si>
  <si>
    <t>SWAP SXEP 24FEB2025 24FEB2026 363.9857</t>
  </si>
  <si>
    <t>SWAP SXEP 26FEB2025 24FEB2026 357.39635</t>
  </si>
  <si>
    <t>SXEPEX GR</t>
  </si>
  <si>
    <t>TECK</t>
  </si>
  <si>
    <t>TII 0.75% 02/15/42</t>
  </si>
  <si>
    <t>TII</t>
  </si>
  <si>
    <t>TLN</t>
  </si>
  <si>
    <t>TSLA</t>
  </si>
  <si>
    <t>TSM US 03/07/25 C205</t>
  </si>
  <si>
    <t>TSM US 03/07/25 C220</t>
  </si>
  <si>
    <t>TSN</t>
  </si>
  <si>
    <t>TTWO US 03/21/25 C220</t>
  </si>
  <si>
    <t>TYM5</t>
  </si>
  <si>
    <t>US Treasury Bond Future</t>
  </si>
  <si>
    <t>UHR SW</t>
  </si>
  <si>
    <t>UPM FH</t>
  </si>
  <si>
    <t>USDCALL/CNHPUT 7.2 26NOV25</t>
  </si>
  <si>
    <t>Currencies Options</t>
  </si>
  <si>
    <t>BankAmericaFXPB</t>
  </si>
  <si>
    <t>USDCALL/CNHPUT 7.4 03DEC25</t>
  </si>
  <si>
    <t>USDCALL/CNHPUT 7.5 26NOV25</t>
  </si>
  <si>
    <t>USDCALL/CNHPUT 7.6 03DEC25</t>
  </si>
  <si>
    <t>VALE</t>
  </si>
  <si>
    <t>VRT</t>
  </si>
  <si>
    <t>XLE</t>
  </si>
  <si>
    <t>XLF US 03/21/25 C51</t>
  </si>
  <si>
    <t>XLF US 03/21/25 C52</t>
  </si>
  <si>
    <t>XLF US 03/21/25 P48.5</t>
  </si>
  <si>
    <t>XOP</t>
  </si>
  <si>
    <t>XOP US 07/18/25 C150</t>
  </si>
  <si>
    <t>XOP US 07/18/25 C160</t>
  </si>
  <si>
    <t>XOP US 07/18/25 P115</t>
  </si>
  <si>
    <t>GBP Equity</t>
  </si>
  <si>
    <t>ZENITH</t>
  </si>
  <si>
    <t>2EH5P 5825</t>
  </si>
  <si>
    <t>CEG</t>
  </si>
  <si>
    <t>CPLE6 17/04/25 P10.08 OTC</t>
  </si>
  <si>
    <t>Equity Options OTC</t>
  </si>
  <si>
    <t>CPLE6 17/04/25 P9.38 OTC</t>
  </si>
  <si>
    <t>EMBR3 17/04/25 P51.50 OTC</t>
  </si>
  <si>
    <t>EMBR3 17/04/25 P57.50 OTC</t>
  </si>
  <si>
    <t>GFNORTEO MM</t>
  </si>
  <si>
    <t>MXN Equity</t>
  </si>
  <si>
    <t>GMAT3 17/04/25 C8.00 OTC</t>
  </si>
  <si>
    <t>GMAT3 17/04/25 P6.40 OTC</t>
  </si>
  <si>
    <t>GMAT3 17/04/25 P7.10 OTC</t>
  </si>
  <si>
    <t>HWRH5</t>
  </si>
  <si>
    <t>Russell 2000 Index Micro E-mini Futures - CME</t>
  </si>
  <si>
    <t>IBOVE 12/03/25 C126000 OTC</t>
  </si>
  <si>
    <t>IBVSP NDO</t>
  </si>
  <si>
    <t>IBOVE 12/03/25 P129000 OTC</t>
  </si>
  <si>
    <t>IBOVE 16/04/25 P119000 OTC</t>
  </si>
  <si>
    <t>IBOVE 16/04/25 P125000 OTC</t>
  </si>
  <si>
    <t>INTC</t>
  </si>
  <si>
    <t>ITUB4 21/03/25 P30.14 OTC</t>
  </si>
  <si>
    <t>ITUB4 21/03/25 P32.14 OTC</t>
  </si>
  <si>
    <t>ITUB4 21/03/25 P34.62 OTC</t>
  </si>
  <si>
    <t>MOVIBZ 5.25% 02/08/31</t>
  </si>
  <si>
    <t>MSFT US 03/21/25 C490</t>
  </si>
  <si>
    <t>NEE</t>
  </si>
  <si>
    <t>NRG</t>
  </si>
  <si>
    <t>PEG</t>
  </si>
  <si>
    <t>PRIO3 21/03/25 C47.18 OTC</t>
  </si>
  <si>
    <t>PRIO3 21/03/25 P29.93 OTC</t>
  </si>
  <si>
    <t>PRIO3 21/03/25 P36.93 OTC</t>
  </si>
  <si>
    <t>PRIO3 21/03/25 P38.93 OTC</t>
  </si>
  <si>
    <t>PRIO3 21/03/25 P42.43 OTC</t>
  </si>
  <si>
    <t>SMFT3 16/05/25 C21.00 OTC</t>
  </si>
  <si>
    <t>SMFT3 16/05/25 P16.50 OTC</t>
  </si>
  <si>
    <t>SMFT3 16/05/25 P18.00 OTC</t>
  </si>
  <si>
    <t>SMFT3 17/04/25 C21.50 OTC</t>
  </si>
  <si>
    <t>SMFT3 17/04/25 P18.00 OTC</t>
  </si>
  <si>
    <t>SMFT3 17/04/25 P19.50 OTC</t>
  </si>
  <si>
    <t>SUZB3 21/03/25 P55.80 OTC</t>
  </si>
  <si>
    <t>SUZB3 21/03/25 P60.80 OTC</t>
  </si>
  <si>
    <t>SWAP ABEV3 02JAN2025 04JUN2025 11.8813</t>
  </si>
  <si>
    <t>SWAP ABEV3 07MAR2025 17APR2025 12.78</t>
  </si>
  <si>
    <t>SWAP ABEV3 08JAN2025 04JUN2025 11.3002</t>
  </si>
  <si>
    <t>SWAP ABEV3 11MAR2025 05NOV2025 12.9316</t>
  </si>
  <si>
    <t>SWAP ABEV3 23DEC2024 04JUN2025 12.83</t>
  </si>
  <si>
    <t>SWAP ABEV3 24DEC2024 04JUN2025 12.1222</t>
  </si>
  <si>
    <t>SWAP ALOS3 03DEC2024 04JUN2025 19.4406</t>
  </si>
  <si>
    <t>SWAP ALOS3 05JUL2024 04JUN2025 21.2213</t>
  </si>
  <si>
    <t>SWAP ALOS3 08NOV2024 17APR2025 22.0799</t>
  </si>
  <si>
    <t>SWAP ALOS3 09AUG2024 04JUN2025 22.5079</t>
  </si>
  <si>
    <t>SWAP ALOS3 14AUG2024 04JUN2025 23.2181</t>
  </si>
  <si>
    <t>SWAP ALOS3 18FEB2025 04JUN2025 19.5577</t>
  </si>
  <si>
    <t>SWAP ALOS3 19FEB2025 05NOV2025 19.9106</t>
  </si>
  <si>
    <t>SWAP ALOS3 24JAN2025 05NOV2025 18.2083540229885</t>
  </si>
  <si>
    <t>SWAP ALOS3 24JUL2024 04JUN2025 22.3201</t>
  </si>
  <si>
    <t>SWAP ALOS3 26DEC2024 05NOV2025 18.4255</t>
  </si>
  <si>
    <t>SWAP ALOS3 27JUN2024 04JUN2025 21.2635</t>
  </si>
  <si>
    <t>SWAP ALOS3 28NOV2024 04JUN2025 21.6393</t>
  </si>
  <si>
    <t>SWAP ALPA4 07MAR2025 04JUN2025 6.4</t>
  </si>
  <si>
    <t>SWAP ALPA4 07MAR2025 05NOV2025 6.3557</t>
  </si>
  <si>
    <t>SWAP ALUP11 08JAN2025 05NOV2025 26.5975</t>
  </si>
  <si>
    <t>SWAP ALUP11 08OCT2024 04JUN2025 29.3686</t>
  </si>
  <si>
    <t>SWAP ALUP11 10JUN2024 04JUN2025 30.3186</t>
  </si>
  <si>
    <t>SWAP ALUP11 12JUN2024 04JUN2025 29.7768</t>
  </si>
  <si>
    <t>SWAP ALUP11 13JUN2024 04JUN2025 29.8188</t>
  </si>
  <si>
    <t>SWAP ALUP11 17DEC2024 04JUN2025 27.2491</t>
  </si>
  <si>
    <t>SWAP ALUP11 22NOV2024 04JUN2025 29.409</t>
  </si>
  <si>
    <t>SWAP ALUP11 24JUL2024 04JUN2025 31.144</t>
  </si>
  <si>
    <t>SWAP ALUP11 26DEC2024 05NOV2025 26.3079</t>
  </si>
  <si>
    <t>SWAP ALUP11 29JAN2025 05NOV2025 27.4918</t>
  </si>
  <si>
    <t>SWAP ALUP11 30JAN2025 05NOV2025 27.6148</t>
  </si>
  <si>
    <t>SWAP ARML3 07MAR2025 05NOV2025 4.12</t>
  </si>
  <si>
    <t>SWAP ASAI3 07MAR2025 05NOV2025 6.57</t>
  </si>
  <si>
    <t>SWAP ASAI3 10MAR2025 04JUN2025 6.3992</t>
  </si>
  <si>
    <t>SWAP ASAI3 10MAR2025 05NOV2025 6.43346829268293</t>
  </si>
  <si>
    <t>SWAP AURE3 06FEB2025 04JUN2025 7.9304</t>
  </si>
  <si>
    <t>SWAP AZUL4 05JUN2024 04JUN2025 9.41</t>
  </si>
  <si>
    <t>SWAP AZZA3 07MAR2025 04JUN2025 25.75</t>
  </si>
  <si>
    <t>SWAP AZZA3 07MAR2025 05NOV2025 25.75</t>
  </si>
  <si>
    <t>SWAP B3SA3 08JAN2025 05NOV2025 10.3793</t>
  </si>
  <si>
    <t>SWAP B3SA3 11MAR2025 04JUN2025 10.8377</t>
  </si>
  <si>
    <t>SWAP B3SA3 11MAR2025 17APR2025 10.8121</t>
  </si>
  <si>
    <t>SWAP B3SA3 12DEC2024 04JUN2025 10.0858</t>
  </si>
  <si>
    <t>SWAP B3SA3 13DEC2024 04JUN2025 10.4249</t>
  </si>
  <si>
    <t>SWAP B3SA3 13JAN2025 05NOV2025 10.1892</t>
  </si>
  <si>
    <t>SWAP B3SA3 16DEC2024 04JUN2025 10.2887</t>
  </si>
  <si>
    <t>SWAP B3SA3 17FEB2025 04JUN2025 11.126</t>
  </si>
  <si>
    <t>SWAP B3SA3 18FEB2025 04JUN2025 11.5583</t>
  </si>
  <si>
    <t>SWAP B3SA3 19FEB2025 04JUN2025 11.6402</t>
  </si>
  <si>
    <t>SWAP B3SA3 26DEC2024 05NOV2025 10.2707</t>
  </si>
  <si>
    <t>SWAP B3SA3 30JAN2025 04JUN2025 10.5795</t>
  </si>
  <si>
    <t>SWAP BBAS3 03FEB2025 05NOV2025 27.5244</t>
  </si>
  <si>
    <t>SWAP BBAS3 04OCT2024 04JUN2025 27.3346</t>
  </si>
  <si>
    <t>SWAP BBAS3 05JUN2024 04JUN2025 27.15</t>
  </si>
  <si>
    <t>SWAP BBAS3 05MAR2025 05NOV2025 27.9451</t>
  </si>
  <si>
    <t>SWAP BBAS3 06JAN2025 04JUN2025 23.8884</t>
  </si>
  <si>
    <t>SWAP BBAS3 07MAR2025 05NOV2025 27.5648</t>
  </si>
  <si>
    <t>SWAP BBAS3 08AUG2024 04JUN2025 26.8229</t>
  </si>
  <si>
    <t>SWAP BBAS3 08JAN2025 05NOV2025 23.9615</t>
  </si>
  <si>
    <t>SWAP BBAS3 08JAN2025 05NOV2025 24.0216</t>
  </si>
  <si>
    <t>SWAP BBAS3 09AUG2024 04JUN2025 26.9453</t>
  </si>
  <si>
    <t>SWAP BBAS3 09DEC2024 04JUN2025 25.5658</t>
  </si>
  <si>
    <t>SWAP BBAS3 19FEB2025 05NOV2025 29.3464</t>
  </si>
  <si>
    <t>SWAP BBAS3 24FEB2025 05NOV2025 28.0352</t>
  </si>
  <si>
    <t>SWAP BBAS3 24JAN2025 04JUN2025 26.0762</t>
  </si>
  <si>
    <t>SWAP BBAS3 26DEC2024 05NOV2025 23.9272</t>
  </si>
  <si>
    <t>SWAP BBAS3 26SEP2024 04JUN2025 27.6896</t>
  </si>
  <si>
    <t>SWAP BBAS3 27FEB2025 05NOV2025 28.3155</t>
  </si>
  <si>
    <t>SWAP BBAS3 30DEC2024 04JUN2025 24.3318</t>
  </si>
  <si>
    <t>SWAP BBAS3 30DEC2024 05NOV2025 24.31406298</t>
  </si>
  <si>
    <t>SWAP BBAS3 31DEC2024 05NOV2025 24.2518</t>
  </si>
  <si>
    <t>SWAP BBDC3 03DEC2024 04JUN2025 11.0944</t>
  </si>
  <si>
    <t>SWAP BBDC3 04DEC2024 04JUN2025 10.9875</t>
  </si>
  <si>
    <t>SWAP BBDC3 05JUN2024 04JUN2025 11.47</t>
  </si>
  <si>
    <t>SWAP BBDC4 01OCT2024 04JUN2025 14.9835</t>
  </si>
  <si>
    <t>SWAP BBDC4 03OCT2024 04JUN2025 14.8212</t>
  </si>
  <si>
    <t>SWAP BBDC4 07AUG2024 04JUN2025 13.0259</t>
  </si>
  <si>
    <t>SWAP BBDC4 07MAR2025 05NOV2025 11.47</t>
  </si>
  <si>
    <t>SWAP BBDC4 08AUG2024 04JUN2025 14.0024</t>
  </si>
  <si>
    <t>SWAP BBDC4 09OCT2024 04JUN2025 15.2329</t>
  </si>
  <si>
    <t>SWAP BBDC4 10FEB2025 04JUN2025 12.4905</t>
  </si>
  <si>
    <t>SWAP BBDC4 11SEP2024 04JUN2025 15.8242</t>
  </si>
  <si>
    <t>SWAP BBDC4 14FEB2025 04JUN2025 11.6955086848635</t>
  </si>
  <si>
    <t>SWAP BBDC4 22OCT2024 04JUN2025 15.3338</t>
  </si>
  <si>
    <t>SWAP BBDC4 27AUG2024 04JUN2025 15.8825</t>
  </si>
  <si>
    <t>SWAP BBSE3 05JUN2024 04JUN2025 32.18</t>
  </si>
  <si>
    <t>SWAP BBSE3 07MAR2025 05NOV2025 38.7</t>
  </si>
  <si>
    <t>SWAP BBSE3 10FEB2025 04JUN2025 39.4265</t>
  </si>
  <si>
    <t>SWAP BBSE3 29NOV2024 04JUN2025 33.6914</t>
  </si>
  <si>
    <t>SWAP BEEF3 07MAR2025 05NOV2025 4.5759</t>
  </si>
  <si>
    <t>SWAP BEEF3 07MAR2025 05NOV2025 4.62</t>
  </si>
  <si>
    <t>SWAP BEEF3 19AUG2024 04JUN2025 7.5206</t>
  </si>
  <si>
    <t>SWAP BEEF3 22AUG2024 04JUN2025 7.8441</t>
  </si>
  <si>
    <t>SWAP BOVA11 07MAR2025 04JUN2025 120.34</t>
  </si>
  <si>
    <t>SWAP BOVA11 07MAR2025 05NOV2025 119.902</t>
  </si>
  <si>
    <t>SWAP BOVA11 07MAR2025 05NOV2025 120.34</t>
  </si>
  <si>
    <t>SWAP BOVA11 10MAR2025 05NOV2025 120.193317647059</t>
  </si>
  <si>
    <t>SWAP BOVA11 11MAR2025 05NOV2025 119.6123</t>
  </si>
  <si>
    <t>SWAP BPAC11 03DEC2024 04JUN2025 30.1911421524664</t>
  </si>
  <si>
    <t>SWAP BPAC11 03OCT2024 04JUN2025 33.0212</t>
  </si>
  <si>
    <t>SWAP BPAC11 05DEC2024 04JUN2025 30.4114</t>
  </si>
  <si>
    <t>SWAP BPAC11 05JUN2024 04JUN2025 32.56</t>
  </si>
  <si>
    <t>SWAP BPAC11 06DEC2024 04JUN2025 30.4453770773639</t>
  </si>
  <si>
    <t>SWAP BPAC11 06JAN2025 04JUN2025 27.2108</t>
  </si>
  <si>
    <t>SWAP BPAC11 06NOV2024 04JUN2025 32.6777</t>
  </si>
  <si>
    <t>SWAP BPAC11 07FEB2025 04JUN2025 31.7675</t>
  </si>
  <si>
    <t>SWAP BPAC11 07FEB2025 05NOV2025 31.7285</t>
  </si>
  <si>
    <t>SWAP BPAC11 10DEC2024 04JUN2025 30.991</t>
  </si>
  <si>
    <t>SWAP BPAC11 10FEB2025 04JUN2025 31.9077</t>
  </si>
  <si>
    <t>SWAP BPAC11 11MAR2025 05NOV2025 31.1981</t>
  </si>
  <si>
    <t>SWAP BPAC11 14JAN2025 05NOV2025 27.9051</t>
  </si>
  <si>
    <t>SWAP BPAC11 16JAN2025 05NOV2025 28.5290050251256</t>
  </si>
  <si>
    <t>SWAP BPAC11 16OCT2024 04JUN2025 32.513</t>
  </si>
  <si>
    <t>SWAP BPAC11 17FEB2025 05NOV2025 31.6384</t>
  </si>
  <si>
    <t>SWAP BPAC11 17JAN2025 05NOV2025 29.6366</t>
  </si>
  <si>
    <t>SWAP BPAC11 19DEC2024 04JUN2025 29.2684286908078</t>
  </si>
  <si>
    <t>SWAP BPAC11 22OCT2024 04JUN2025 33.1226403669725</t>
  </si>
  <si>
    <t>SWAP BPAC11 23DEC2024 04JUN2025 28.7102</t>
  </si>
  <si>
    <t>SWAP BPAC11 24DEC2024 04JUN2025 29.1295</t>
  </si>
  <si>
    <t>SWAP BPAC11 24DEC2024 17APR2025 29.72</t>
  </si>
  <si>
    <t>SWAP BPAC11 24SEP2024 04JUN2025 33.36</t>
  </si>
  <si>
    <t>SWAP BPAC11 26DEC2024 05NOV2025 27.9284</t>
  </si>
  <si>
    <t>SWAP BPAC11 26JUN2024 04JUN2025 32.9096</t>
  </si>
  <si>
    <t>SWAP BPAC11 26NOV2024 04JUN2025 33.2783</t>
  </si>
  <si>
    <t>SWAP BPAC11 27FEB2025 05NOV2025 32.6393</t>
  </si>
  <si>
    <t>SWAP BPAC11 27NOV2024 04JUN2025 33.3191</t>
  </si>
  <si>
    <t>SWAP BPAC11 27SEP2024 04JUN2025 32.7125333333333</t>
  </si>
  <si>
    <t>SWAP BPAC11 30SEP2024 04JUN2025 32.9676</t>
  </si>
  <si>
    <t>SWAP BPAN4 07MAR2025 04JUN2025 7.05</t>
  </si>
  <si>
    <t>SWAP BRAP4 07MAR2025 04JUN2025 16.76</t>
  </si>
  <si>
    <t>SWAP BRAP4 07MAR2025 17APR2025 16.76</t>
  </si>
  <si>
    <t>SWAP BRAV3 05MAR2025 04JUN2025 18.6091</t>
  </si>
  <si>
    <t>SWAP BRAV3 06DEC2024 17APR2025 21.419</t>
  </si>
  <si>
    <t>SWAP BRAV3 07MAR2025 05NOV2025 16.52</t>
  </si>
  <si>
    <t>SWAP BRAV3 07MAR2025 05NOV2025 17.3144</t>
  </si>
  <si>
    <t>SWAP BRFS3 07MAR2025 05NOV2025 18.65</t>
  </si>
  <si>
    <t>SWAP BRFS3 07MAR2025 05NOV2025 18.7210783606557</t>
  </si>
  <si>
    <t>SWAP BRFS3 18DEC2024 04JUN2025 28.462</t>
  </si>
  <si>
    <t>SWAP BRFS3 28FEB2025 04JUN2025 19.2976</t>
  </si>
  <si>
    <t>SWAP BRKM5 05JUN2024 04JUN2025 18.63</t>
  </si>
  <si>
    <t>SWAP CBAV3 07MAR2025 05NOV2025 5</t>
  </si>
  <si>
    <t>SWAP CCRO3 04NOV2024 17APR2025 12.3044</t>
  </si>
  <si>
    <t>SWAP CCRO3 06JAN2025 04JUN2025 10.2169</t>
  </si>
  <si>
    <t>SWAP CCRO3 07FEB2025 05NOV2025 11.14</t>
  </si>
  <si>
    <t>SWAP CCRO3 07MAR2025 05NOV2025 11.7</t>
  </si>
  <si>
    <t>SWAP CCRO3 07MAR2025 05NOV2025 11.8206</t>
  </si>
  <si>
    <t>SWAP CCRO3 07OCT2024 04JUN2025 12.2493</t>
  </si>
  <si>
    <t>SWAP CCRO3 08JAN2025 05NOV2025 10.3293</t>
  </si>
  <si>
    <t>SWAP CCRO3 08OCT2024 04JUN2025 12.2812</t>
  </si>
  <si>
    <t>SWAP CCRO3 11MAR2025 05NOV2025 11.7105</t>
  </si>
  <si>
    <t>SWAP CCRO3 11NOV2024 04JUN2025 12.0791</t>
  </si>
  <si>
    <t>SWAP CCRO3 11OCT2024 04JUN2025 12.132460591133</t>
  </si>
  <si>
    <t>SWAP CCRO3 16JAN2025 05NOV2025 10.0447</t>
  </si>
  <si>
    <t>SWAP CCRO3 27NOV2024 04JUN2025 12.0089</t>
  </si>
  <si>
    <t>SWAP CCRO3 28JAN2025 05NOV2025 10.8498</t>
  </si>
  <si>
    <t>SWAP CCRO3 31JAN2025 05NOV2025 11.0499</t>
  </si>
  <si>
    <t>SWAP CEAB3 07MAR2025 05NOV2025 9.6787</t>
  </si>
  <si>
    <t>SWAP CEAB3 13FEB2025 05NOV2025 9.7933</t>
  </si>
  <si>
    <t>SWAP CEAB3 17JAN2025 05NOV2025 8.3129</t>
  </si>
  <si>
    <t>SWAP CMIG4 16DEC2024 04JUN2025 11.4554</t>
  </si>
  <si>
    <t>SWAP CMIG4 17DEC2024 04JUN2025 11.4914</t>
  </si>
  <si>
    <t>SWAP CMIG4 19NOV2024 04JUN2025 11.4995</t>
  </si>
  <si>
    <t>SWAP CMIG4 27NOV2024 04JUN2025 11.7806</t>
  </si>
  <si>
    <t>SWAP CMIN3 07MAR2025 04JUN2025 5.29</t>
  </si>
  <si>
    <t>SWAP COCE5 26DEC2024 05NOV2025 23.9172</t>
  </si>
  <si>
    <t>SWAP COGN3 07MAR2025 04JUN2025 1.56</t>
  </si>
  <si>
    <t>SWAP CPFE3 07MAR2025 05NOV2025 35.4</t>
  </si>
  <si>
    <t>SWAP CPFE3 18FEB2025 04JUN2025 34.5764</t>
  </si>
  <si>
    <t>SWAP CPLE3 03FEB2025 04JUN2025 8.8036</t>
  </si>
  <si>
    <t>SWAP CPLE3 05JUN2024 04JUN2025 8.37</t>
  </si>
  <si>
    <t>SWAP CPLE3 06DEC2024 04JUN2025 8.6754</t>
  </si>
  <si>
    <t>SWAP CPLE3 06JAN2025 04JUN2025 8.1868</t>
  </si>
  <si>
    <t>SWAP CPLE3 06NOV2024 04JUN2025 8.6606</t>
  </si>
  <si>
    <t>SWAP CPLE3 07MAR2025 05NOV2025 8.8379</t>
  </si>
  <si>
    <t>SWAP CPLE3 07OCT2024 04JUN2025 8.8875</t>
  </si>
  <si>
    <t>SWAP CPLE3 08JAN2025 05NOV2025 8.1974</t>
  </si>
  <si>
    <t>SWAP CPLE3 13DEC2024 05NOV2025 8.8079</t>
  </si>
  <si>
    <t>SWAP CPLE3 18FEB2025 04JUN2025 9.2999</t>
  </si>
  <si>
    <t>SWAP CPLE3 19AUG2024 04JUN2025 9.4375</t>
  </si>
  <si>
    <t>SWAP CPLE3 26DEC2024 05NOV2025 8.1424</t>
  </si>
  <si>
    <t>SWAP CPLE3 27JAN2025 05NOV2025 8.3275</t>
  </si>
  <si>
    <t>SWAP CPLE3 28FEB2025 05NOV2025 9.2183</t>
  </si>
  <si>
    <t>SWAP CPLE6 03FEB2025 04JUN2025 9.8188</t>
  </si>
  <si>
    <t>SWAP CPLE6 05JUN2024 04JUN2025 9.35</t>
  </si>
  <si>
    <t>SWAP CPLE6 05MAR2025 05NOV2025 10.2192</t>
  </si>
  <si>
    <t>SWAP CPLE6 06MAR2025 05NOV2025 9.8689</t>
  </si>
  <si>
    <t>SWAP CPLE6 07JUN2024 04JUN2025 9.4725</t>
  </si>
  <si>
    <t>SWAP CPLE6 07MAR2025 04JUN2025 9.7492</t>
  </si>
  <si>
    <t>SWAP CPLE6 08JAN2025 05NOV2025 9.1182</t>
  </si>
  <si>
    <t>SWAP CPLE6 10FEB2025 05NOV2025 9.8388</t>
  </si>
  <si>
    <t>SWAP CPLE6 10MAR2025 04JUN2025 9.8512</t>
  </si>
  <si>
    <t>SWAP CPLE6 10OCT2024 04JUN2025 10.1691</t>
  </si>
  <si>
    <t>SWAP CPLE6 11MAR2025 04JUN2025 9.9116</t>
  </si>
  <si>
    <t>SWAP CPLE6 11SEP2024 04JUN2025 10.7997</t>
  </si>
  <si>
    <t>SWAP CPLE6 12FEB2025 04JUN2025 9.7804</t>
  </si>
  <si>
    <t>SWAP CPLE6 13JAN2025 05NOV2025 8.9681</t>
  </si>
  <si>
    <t>SWAP CPLE6 14FEB2025 04JUN2025 10.0191</t>
  </si>
  <si>
    <t>SWAP CPLE6 15OCT2024 04JUN2025 9.959</t>
  </si>
  <si>
    <t>SWAP CPLE6 16OCT2024 04JUN2025 10.0901</t>
  </si>
  <si>
    <t>SWAP CPLE6 17FEB2025 04JUN2025 10.0017</t>
  </si>
  <si>
    <t>SWAP CPLE6 19FEB2025 05NOV2025 10.2392</t>
  </si>
  <si>
    <t>SWAP CPLE6 20FEB2025 17APR2025 10.1491</t>
  </si>
  <si>
    <t>SWAP CPLE6 24SEP2024 04JUN2025 10.5295</t>
  </si>
  <si>
    <t>SWAP CPLE6 26DEC2024 05NOV2025 9.0627</t>
  </si>
  <si>
    <t>SWAP CPLE6 28FEB2025 04JUN2025 10.2192</t>
  </si>
  <si>
    <t>SWAP CPLE6 30JAN2025 17APR2025 9.4585</t>
  </si>
  <si>
    <t>SWAP CRFB3 17FEB2025 04JUN2025 7.3066</t>
  </si>
  <si>
    <t>SWAP CSAN3 07MAR2025 04JUN2025 7.0028</t>
  </si>
  <si>
    <t>SWAP CSAN3 07MAR2025 04JUN2025 7.11</t>
  </si>
  <si>
    <t>SWAP CSAN3 07MAR2025 05NOV2025 7.11</t>
  </si>
  <si>
    <t>SWAP CSAN3 10MAR2025 04JUN2025 7.0444</t>
  </si>
  <si>
    <t>SWAP CSNA3 07MAR2025 04JUN2025 8.5</t>
  </si>
  <si>
    <t>SWAP CSNA3 07MAR2025 17APR2025 8.5</t>
  </si>
  <si>
    <t>SWAP CURY3 07MAR2025 05NOV2025 21.4693</t>
  </si>
  <si>
    <t>SWAP CURY3 11MAR2025 05NOV2025 21.8496</t>
  </si>
  <si>
    <t>SWAP CVCB3 07MAR2025 05NOV2025 1.73</t>
  </si>
  <si>
    <t>SWAP CXSE3 07MAR2025 04JUN2025 15.83</t>
  </si>
  <si>
    <t>SWAP CXSE3 07MAR2025 05NOV2025 15.83</t>
  </si>
  <si>
    <t>SWAP CXSE3 11SEP2024 17APR2025 15.7368</t>
  </si>
  <si>
    <t>SWAP CYRE3 04FEB2025 04JUN2025 20.4917</t>
  </si>
  <si>
    <t>SWAP CYRE3 07MAR2025 05NOV2025 20.88</t>
  </si>
  <si>
    <t>SWAP CYRE3 24JAN2025 04JUN2025 18.6668</t>
  </si>
  <si>
    <t>SWAP DIRR3 03FEB2025 04JUN2025 28.7258</t>
  </si>
  <si>
    <t>SWAP DIRR3 03FEB2025 05NOV2025 28.4686</t>
  </si>
  <si>
    <t>SWAP DIRR3 05MAR2025 05NOV2025 29.6967</t>
  </si>
  <si>
    <t>SWAP DIRR3 07MAR2025 05NOV2025 29.0202</t>
  </si>
  <si>
    <t>SWAP DIRR3 08JAN2025 05NOV2025 25.61142956</t>
  </si>
  <si>
    <t>SWAP DIRR3 10JAN2025 05NOV2025 24.4854931034483</t>
  </si>
  <si>
    <t>SWAP DIRR3 10MAR2025 05NOV2025 30.3287</t>
  </si>
  <si>
    <t>SWAP DIRR3 11MAR2025 04JUN2025 30.6262</t>
  </si>
  <si>
    <t>SWAP DIRR3 13FEB2025 05NOV2025 29.9034</t>
  </si>
  <si>
    <t>SWAP DIRR3 13JAN2025 05NOV2025 24.0306</t>
  </si>
  <si>
    <t>SWAP DIRR3 14FEB2025 05NOV2025 30.1745</t>
  </si>
  <si>
    <t>SWAP DIRR3 14JAN2025 05NOV2025 24.1069</t>
  </si>
  <si>
    <t>SWAP DIRR3 19FEB2025 05NOV2025 31.5984</t>
  </si>
  <si>
    <t>SWAP DIRR3 20FEB2025 04JUN2025 31.565</t>
  </si>
  <si>
    <t>SWAP DIRR3 20FEB2025 05NOV2025 31.6132</t>
  </si>
  <si>
    <t>SWAP DIRR3 21JAN2025 05NOV2025 25.5394</t>
  </si>
  <si>
    <t>SWAP DIRR3 24JAN2025 05NOV2025 25.633</t>
  </si>
  <si>
    <t>SWAP DIRR3 25FEB2025 05NOV2025 32.0588</t>
  </si>
  <si>
    <t>Swap DIxIPCA OFF 4.9215 20JUN23 15MAY35</t>
  </si>
  <si>
    <t>Swap BMF DIxIPCA OFF</t>
  </si>
  <si>
    <t>Swap DIxIPCA OFF 6.226 14OCT24 15MAY35</t>
  </si>
  <si>
    <t>SWAP DXCO3 13DEC2024 05NOV2025 6.8762</t>
  </si>
  <si>
    <t>SWAP ECOR3 07MAR2025 04JUN2025 5.15</t>
  </si>
  <si>
    <t>SWAP ECOR3 07MAR2025 05NOV2025 5.15</t>
  </si>
  <si>
    <t>SWAP ECOR3 07MAR2025 17APR2025 5.15</t>
  </si>
  <si>
    <t>SWAP EGIE3 07MAR2025 05NOV2025 37.03</t>
  </si>
  <si>
    <t>SWAP EGIE3 18FEB2025 04JUN2025 36.3085</t>
  </si>
  <si>
    <t>SWAP ELET3 04DEC2024 04JUN2025 34.6977</t>
  </si>
  <si>
    <t>SWAP ELET3 05AUG2024 04JUN2025 40.1199</t>
  </si>
  <si>
    <t>SWAP ELET3 06FEB2025 04JUN2025 36.234</t>
  </si>
  <si>
    <t>SWAP ELET3 06FEB2025 05NOV2025 36.2407</t>
  </si>
  <si>
    <t>SWAP ELET3 06MAR2025 04JUN2025 39.0433</t>
  </si>
  <si>
    <t>SWAP ELET3 06MAR2025 05NOV2025 38.6347</t>
  </si>
  <si>
    <t>SWAP ELET3 07FEB2025 04JUN2025 35.7906</t>
  </si>
  <si>
    <t>SWAP ELET3 07JAN2025 04JUN2025 33.5802</t>
  </si>
  <si>
    <t>SWAP ELET3 07OCT2024 04JUN2025 38.3546</t>
  </si>
  <si>
    <t>SWAP ELET3 08JAN2025 05NOV2025 33.9515</t>
  </si>
  <si>
    <t>SWAP ELET3 09DEC2024 04JUN2025 37.0279</t>
  </si>
  <si>
    <t>SWAP ELET3 10DEC2024 04JUN2025 36.7648</t>
  </si>
  <si>
    <t>SWAP ELET3 10OCT2024 04JUN2025 38.7882</t>
  </si>
  <si>
    <t>SWAP ELET3 11MAR2025 04JUN2025 39.2188</t>
  </si>
  <si>
    <t>SWAP ELET3 11MAR2025 05NOV2025 38.3545</t>
  </si>
  <si>
    <t>SWAP ELET3 15OCT2024 04JUN2025 37.9996</t>
  </si>
  <si>
    <t>SWAP ELET3 16OCT2024 04JUN2025 38.7084</t>
  </si>
  <si>
    <t>SWAP ELET3 19AUG2024 04JUN2025 40.7087</t>
  </si>
  <si>
    <t>SWAP ELET3 21AUG2024 04JUN2025 41.4528</t>
  </si>
  <si>
    <t>SWAP ELET3 26DEC2024 05NOV2025 34.7604</t>
  </si>
  <si>
    <t>SWAP ELET3 27NOV2024 04JUN2025 35.6721</t>
  </si>
  <si>
    <t>SWAP ELET3 28AUG2024 04JUN2025 42.0582</t>
  </si>
  <si>
    <t>SWAP ELET3 28NOV2024 04JUN2025 36.3302</t>
  </si>
  <si>
    <t>SWAP ELET3 29AUG2024 04JUN2025 41.8762</t>
  </si>
  <si>
    <t>SWAP ELET3 29JAN2025 04JUN2025 35.4099</t>
  </si>
  <si>
    <t>SWAP ELET3 30AUG2024 04JUN2025 42.1639</t>
  </si>
  <si>
    <t>SWAP ELET6 24JAN2025 04JUN2025 39.3571</t>
  </si>
  <si>
    <t>SWAP EMBR3 05JUN2024 04JUN2025 36.73</t>
  </si>
  <si>
    <t>SWAP EMBR3 08NOV2024 04JUN2025 50.1028</t>
  </si>
  <si>
    <t>SWAP EMBR3 10MAR2025 04JUN2025 75.7141</t>
  </si>
  <si>
    <t>SWAP EMBR3 10MAR2025 05NOV2025 75.4879</t>
  </si>
  <si>
    <t>SWAP EMBR3 17JUN2024 04JUN2025 39.4355</t>
  </si>
  <si>
    <t>SWAP EMBR3 18DEC2024 04JUN2025 56.2198</t>
  </si>
  <si>
    <t>SWAP EMBR3 21FEB2025 04JUN2025 60.5665</t>
  </si>
  <si>
    <t>SWAP EMBR3 21OCT2024 04JUN2025 48.4315</t>
  </si>
  <si>
    <t>SWAP EMBR3 25SEP2024 04JUN2025 49.1079</t>
  </si>
  <si>
    <t>SWAP EMBR3 26FEB2025 04JUN2025 59.7393</t>
  </si>
  <si>
    <t>SWAP ENEV3 07MAR2025 05NOV2025 11.7</t>
  </si>
  <si>
    <t>SWAP ENEV3 10FEB2025 04JUN2025 11.7299</t>
  </si>
  <si>
    <t>SWAP ENEV3 12FEB2025 04JUN2025 11.9251366826156</t>
  </si>
  <si>
    <t>SWAP ENEV3 13FEB2025 04JUN2025 11.9303</t>
  </si>
  <si>
    <t>SWAP ENEV3 14FEB2025 04JUN2025 11.9179</t>
  </si>
  <si>
    <t>SWAP ENEV3 14JAN2025 04JUN2025 10.6192</t>
  </si>
  <si>
    <t>SWAP ENEV3 15JAN2025 04JUN2025 11.07</t>
  </si>
  <si>
    <t>SWAP ENEV3 16JAN2025 04JUN2025 10.8693</t>
  </si>
  <si>
    <t>SWAP ENEV3 18FEB2025 04JUN2025 12.1009</t>
  </si>
  <si>
    <t>SWAP ENGI11 04DEC2024 04JUN2025 40.0829</t>
  </si>
  <si>
    <t>SWAP ENGI11 06DEC2024 04JUN2025 39.6115</t>
  </si>
  <si>
    <t>SWAP ENGI11 07NOV2024 04JUN2025 43.0327</t>
  </si>
  <si>
    <t>SWAP ENGI11 08JAN2025 05NOV2025 36.8223</t>
  </si>
  <si>
    <t>SWAP ENGI11 10MAR2025 04JUN2025 38.2891</t>
  </si>
  <si>
    <t>SWAP ENGI11 11MAR2025 04JUN2025 39.6814</t>
  </si>
  <si>
    <t>SWAP ENGI11 14FEB2025 04JUN2025 40.6632</t>
  </si>
  <si>
    <t>SWAP ENGI11 17FEB2025 04JUN2025 40.2457</t>
  </si>
  <si>
    <t>SWAP ENGI11 17FEB2025 05NOV2025 40.6065</t>
  </si>
  <si>
    <t>SWAP ENGI11 19FEB2025 04JUN2025 42.6537</t>
  </si>
  <si>
    <t>SWAP ENGI11 21JAN2025 05NOV2025 36.4328</t>
  </si>
  <si>
    <t>SWAP ENGI11 26DEC2024 05NOV2025 37.2512</t>
  </si>
  <si>
    <t>SWAP ENGI11 27NOV2024 04JUN2025 41.8667</t>
  </si>
  <si>
    <t>SWAP ENGI11 28NOV2024 04JUN2025 42.6742</t>
  </si>
  <si>
    <t>SWAP ENGI11 28OCT2024 04JUN2025 42.5646</t>
  </si>
  <si>
    <t>SWAP ENGI11 29NOV2024 04JUN2025 42.7584</t>
  </si>
  <si>
    <t>SWAP EQTL3 03DEC2024 04JUN2025 30.453</t>
  </si>
  <si>
    <t>SWAP EQTL3 03JUL2024 04JUN2025 32.0719</t>
  </si>
  <si>
    <t>SWAP EQTL3 04JUL2024 04JUN2025 32.1335</t>
  </si>
  <si>
    <t>SWAP EQTL3 05JUN2024 04JUN2025 29.64</t>
  </si>
  <si>
    <t>SWAP EQTL3 06DEC2024 04JUN2025 29.8252</t>
  </si>
  <si>
    <t>SWAP EQTL3 08JAN2025 05NOV2025 27.1632</t>
  </si>
  <si>
    <t>SWAP EQTL3 09DEC2024 04JUN2025 30.3973</t>
  </si>
  <si>
    <t>SWAP EQTL3 10MAR2025 04JUN2025 30.3316</t>
  </si>
  <si>
    <t>SWAP EQTL3 11JUN2024 04JUN2025 29.9074</t>
  </si>
  <si>
    <t>SWAP EQTL3 11MAR2025 04JUN2025 30.9153</t>
  </si>
  <si>
    <t>SWAP EQTL3 11SEP2024 04JUN2025 34.7894</t>
  </si>
  <si>
    <t>SWAP EQTL3 15OCT2024 04JUN2025 31.4983</t>
  </si>
  <si>
    <t>SWAP EQTL3 16JAN2025 05NOV2025 27.0944</t>
  </si>
  <si>
    <t>SWAP EQTL3 17JAN2025 04JUN2025 27.6716</t>
  </si>
  <si>
    <t>SWAP EQTL3 17JAN2025 05NOV2025 27.6649</t>
  </si>
  <si>
    <t>SWAP EQTL3 18FEB2025 04JUN2025 30.9478</t>
  </si>
  <si>
    <t>SWAP EQTL3 22NOV2024 04JUN2025 32.8549</t>
  </si>
  <si>
    <t>SWAP EQTL3 23DEC2024 04JUN2025 28.9606</t>
  </si>
  <si>
    <t>SWAP EQTL3 23OCT2024 04JUN2025 32.8</t>
  </si>
  <si>
    <t>SWAP EQTL3 26DEC2024 05NOV2025 27.9384</t>
  </si>
  <si>
    <t>SWAP EQTL3 26FEB2025 05NOV2025 30.5074</t>
  </si>
  <si>
    <t>SWAP EQTL3 30DEC2024 05NOV2025 27.754998</t>
  </si>
  <si>
    <t>SWAP EQTL3 31JUL2024 04JUN2025 32.32</t>
  </si>
  <si>
    <t>SWAP EQTL3 31JUL2024 04JUN2025 32.3996</t>
  </si>
  <si>
    <t>SWAP EQTL9 26FEB2025 04JUN2025 26</t>
  </si>
  <si>
    <t>SWAP EQTL9 26FEB2025 05NOV2025 26</t>
  </si>
  <si>
    <t>SWAP EVEN3 03JUL2024 17APR2025 6.36</t>
  </si>
  <si>
    <t>SWAP EVEN3 07MAR2025 04JUN2025 5.64</t>
  </si>
  <si>
    <t>SWAP EVEN3 07MAR2025 05NOV2025 5.64</t>
  </si>
  <si>
    <t>SWAP EZTC3 05FEB2025 04JUN2025 12.71</t>
  </si>
  <si>
    <t>SWAP EZTC3 07MAR2025 04JUN2025 12.22</t>
  </si>
  <si>
    <t>SWAP EZTC3 07MAR2025 05NOV2025 12.22</t>
  </si>
  <si>
    <t>SWAP FLRY3 07MAR2025 04JUN2025 11.39</t>
  </si>
  <si>
    <t>SWAP FLRY3 07MAR2025 05NOV2025 11.39</t>
  </si>
  <si>
    <t>SWAP GGBR4 04DEC2024 04JUN2025 20.4385</t>
  </si>
  <si>
    <t>SWAP GGBR4 06JAN2025 05NOV2025 17.9662</t>
  </si>
  <si>
    <t>SWAP GGBR4 06NOV2024 04JUN2025 18.1864</t>
  </si>
  <si>
    <t>SWAP GGBR4 08NOV2024 04JUN2025 19.5306</t>
  </si>
  <si>
    <t>SWAP GGBR4 10MAR2025 05NOV2025 16.7436</t>
  </si>
  <si>
    <t>SWAP GGBR4 13FEB2025 04JUN2025 17.8217</t>
  </si>
  <si>
    <t>SWAP GGBR4 13FEB2025 05NOV2025 18.1247</t>
  </si>
  <si>
    <t>SWAP GGBR4 24JUN2024 04JUN2025 17.489388776797</t>
  </si>
  <si>
    <t>SWAP GGBR4 27JUN2024 04JUN2025 17.7868</t>
  </si>
  <si>
    <t>SWAP GGBR4 28FEB2025 05NOV2025 16.685</t>
  </si>
  <si>
    <t>SWAP GGBR4 28JUN2024 04JUN2025 18.0205</t>
  </si>
  <si>
    <t>SWAP GGPS3 08JAN2025 05NOV2025 14.5019</t>
  </si>
  <si>
    <t>SWAP GGPS3 17JAN2025 05NOV2025 14.0604</t>
  </si>
  <si>
    <t>SWAP GGPS3 21JAN2025 05NOV2025 13.9125</t>
  </si>
  <si>
    <t>SWAP GGPS3 26DEC2024 05NOV2025 14.1542</t>
  </si>
  <si>
    <t>SWAP GMAT3 03FEB2025 05NOV2025 6.666</t>
  </si>
  <si>
    <t>SWAP GMAT3 04FEB2025 05NOV2025 6.7457</t>
  </si>
  <si>
    <t>SWAP GMAT3 05JUN2024 04JUN2025 7.8</t>
  </si>
  <si>
    <t>SWAP GMAT3 05MAR2025 05NOV2025 6.6159</t>
  </si>
  <si>
    <t>SWAP GMAT3 07OCT2024 04JUN2025 7.5158</t>
  </si>
  <si>
    <t>SWAP GMAT3 08JUL2024 04JUN2025 7.1562</t>
  </si>
  <si>
    <t>SWAP GMAT3 10MAR2025 05NOV2025 6.1655</t>
  </si>
  <si>
    <t>SWAP GMAT3 13FEB2025 05NOV2025 6.5532</t>
  </si>
  <si>
    <t>SWAP GMAT3 17FEB2025 05NOV2025 6.5859</t>
  </si>
  <si>
    <t>SWAP GMAT3 19FEB2025 05NOV2025 7.4471</t>
  </si>
  <si>
    <t>SWAP GMAT3 19NOV2024 05NOV2025 7.2465</t>
  </si>
  <si>
    <t>SWAP GMAT3 20FEB2025 05NOV2025 7.0764</t>
  </si>
  <si>
    <t>SWAP GMAT3 24DEC2024 17APR2025 6.8338</t>
  </si>
  <si>
    <t>SWAP GMAT3 24FEB2025 05NOV2025 7.0163</t>
  </si>
  <si>
    <t>SWAP GMAT3 26NOV2024 04JUN2025 7.091</t>
  </si>
  <si>
    <t>SWAP GMAT3 28FEB2025 05NOV2025 6.6942</t>
  </si>
  <si>
    <t>SWAP GMAT3 30DEC2024 05NOV2025 6.996291</t>
  </si>
  <si>
    <t>SWAP GOAU4 06NOV2024 04JUN2025 10.2492</t>
  </si>
  <si>
    <t>SWAP HAPV3 03FEB2025 04JUN2025 2.3221</t>
  </si>
  <si>
    <t>SWAP HAPV3 03FEB2025 05NOV2025 2.3221</t>
  </si>
  <si>
    <t>SWAP HAPV3 06SEP2024 04JUN2025 4.4864</t>
  </si>
  <si>
    <t>SWAP HAPV3 07MAR2025 05NOV2025 2.1019</t>
  </si>
  <si>
    <t>SWAP HAPV3 10FEB2025 05NOV2025 2.27635654281098</t>
  </si>
  <si>
    <t>SWAP HAPV3 17FEB2025 05NOV2025 2.2921</t>
  </si>
  <si>
    <t>SWAP HAPV3 19FEB2025 05NOV2025 2.5323</t>
  </si>
  <si>
    <t>SWAP HAPV3 24DEC2024 04JUN2025 2.4322</t>
  </si>
  <si>
    <t>SWAP HAPV3 25FEB2025 05NOV2025 2.36847209302326</t>
  </si>
  <si>
    <t>SWAP HAPV3 27AUG2024 04JUN2025 4.484</t>
  </si>
  <si>
    <t>SWAP HAPV3 31JAN2025 05NOV2025 2.3121</t>
  </si>
  <si>
    <t>SWAP HYPE3 24JAN2025 04JUN2025 18.3615</t>
  </si>
  <si>
    <t>SWAP HYPE3 25OCT2024 04JUN2025 27.3662</t>
  </si>
  <si>
    <t>SWAP HYPE3 27JAN2025 04JUN2025 18.4499</t>
  </si>
  <si>
    <t>SWAP IGTI11 03DEC2024 04JUN2025 19.0396</t>
  </si>
  <si>
    <t>SWAP IGTI11 07MAR2025 04JUN2025 17.4885</t>
  </si>
  <si>
    <t>SWAP IGTI11 07MAR2025 05NOV2025 17.45</t>
  </si>
  <si>
    <t>SWAP IGTI11 09AUG2024 04JUN2025 21.5647</t>
  </si>
  <si>
    <t>SWAP IGTI11 11NOV2024 04JUN2025 20.9789</t>
  </si>
  <si>
    <t>SWAP IGTI11 13FEB2025 04JUN2025 18.74985</t>
  </si>
  <si>
    <t>SWAP IGTI11 14AUG2024 04JUN2025 22.9896</t>
  </si>
  <si>
    <t>SWAP IGTI11 14FEB2025 04JUN2025 18.6895</t>
  </si>
  <si>
    <t>SWAP IGTI11 17FEB2025 04JUN2025 18.6703</t>
  </si>
  <si>
    <t>SWAP IGTI11 20DEC2024 04JUN2025 17.8483</t>
  </si>
  <si>
    <t>SWAP IGTI11 21FEB2025 04JUN2025 19.9671</t>
  </si>
  <si>
    <t>SWAP IGTI11 24FEB2025 04JUN2025 19.3579</t>
  </si>
  <si>
    <t>SWAP IGTI11 24OCT2024 17APR2025 21.1903</t>
  </si>
  <si>
    <t>SWAP IGTI11 25FEB2025 04JUN2025 19.6394</t>
  </si>
  <si>
    <t>SWAP IGTI11 25OCT2024 17APR2025 20.9974</t>
  </si>
  <si>
    <t>SWAP IGTI11 26FEB2025 04JUN2025 18.8091</t>
  </si>
  <si>
    <t>SWAP IGTI11 27FEB2025 04JUN2025 18.493</t>
  </si>
  <si>
    <t>SWAP IGTI11 27JUN2024 04JUN2025 20.2602</t>
  </si>
  <si>
    <t>SWAP INBR32 03FEB2025 05NOV2025 31.118</t>
  </si>
  <si>
    <t>SWAP INBR32 07MAR2025 05NOV2025 30.4374</t>
  </si>
  <si>
    <t>SWAP INBR32 10FEB2025 04JUN2025 31.4357</t>
  </si>
  <si>
    <t>SWAP INBR32 10FEB2025 05NOV2025 30.1431</t>
  </si>
  <si>
    <t>SWAP INBR32 11FEB2025 04JUN2025 31.4901314285714</t>
  </si>
  <si>
    <t>SWAP INBR32 11FEB2025 05NOV2025 30.8167</t>
  </si>
  <si>
    <t>SWAP INBR32 14FEB2025 04JUN2025 30.2023</t>
  </si>
  <si>
    <t>SWAP INBR32 17FEB2025 04JUN2025 30.3073</t>
  </si>
  <si>
    <t>SWAP INBR32 17JAN2025 05NOV2025 27.5448</t>
  </si>
  <si>
    <t>SWAP INBR32 18FEB2025 04JUN2025 31.343</t>
  </si>
  <si>
    <t>SWAP INBR32 19FEB2025 05NOV2025 31.59</t>
  </si>
  <si>
    <t>SWAP INBR32 26DEC2024 05NOV2025 25.7077</t>
  </si>
  <si>
    <t>SWAP INBR32 27FEB2025 05NOV2025 30.5044</t>
  </si>
  <si>
    <t>SWAP INBR32 28FEB2025 04JUN2025 31.1186</t>
  </si>
  <si>
    <t>SWAP INDJ25 05MAR2025 22APR2025 126369.4667</t>
  </si>
  <si>
    <t>SWAP INDJ25 12FEB2025 22APR2025 128200.767</t>
  </si>
  <si>
    <t>SWAP INDJ25 13FEB2025 22APR2025 128890.6635</t>
  </si>
  <si>
    <t>SWAP INDJ25 13FEB2025 22APR2025 129013.6451</t>
  </si>
  <si>
    <t>SWAP INDJ25 14FEB2025 22APR2025 126829.658</t>
  </si>
  <si>
    <t>SWAP INDJ25 14FEB2025 22APR2025 126889.5003</t>
  </si>
  <si>
    <t>SWAP INDJ25 18FEB2025 22APR2025 129823.7588</t>
  </si>
  <si>
    <t>SWAP INDJ25 19FEB2025 22APR2025 131069.0367</t>
  </si>
  <si>
    <t>SWAP INDJ25 20FEB2025 22APR2025 130414.7938</t>
  </si>
  <si>
    <t>SWAP INDJ25 21FEB2025 22APR2025 130201.9717</t>
  </si>
  <si>
    <t>SWAP INDJ25 26FEB2025 22APR2025 127682.6447</t>
  </si>
  <si>
    <t>SWAP INDJ25 27FEB2025 22APR2025 127958.3508</t>
  </si>
  <si>
    <t>SWAP INDJ25 28FEB2025 22APR2025 128750.5994</t>
  </si>
  <si>
    <t>SWAP INTB3 04FEB2025 05NOV2025 14.5324</t>
  </si>
  <si>
    <t>SWAP INTB3 05MAR2025 05NOV2025 13.8024</t>
  </si>
  <si>
    <t>SWAP INTB3 07FEB2025 05NOV2025 14.493</t>
  </si>
  <si>
    <t>SWAP INTB3 07MAR2025 04JUN2025 12.4547</t>
  </si>
  <si>
    <t>SWAP INTB3 24FEB2025 05NOV2025 15.1236</t>
  </si>
  <si>
    <t>SWAP INTB3 26DEC2024 05NOV2025 13.174</t>
  </si>
  <si>
    <t>SWAP IRBR3 20JAN2025 04JUN2025 50.4621</t>
  </si>
  <si>
    <t>SWAP ISAE4 05NOV2024 04JUN2025 24.1</t>
  </si>
  <si>
    <t>SWAP ISAE4 06JAN2025 04JUN2025 23.0247</t>
  </si>
  <si>
    <t>SWAP ISAE4 08JAN2025 05NOV2025 23.2102</t>
  </si>
  <si>
    <t>SWAP ISAE4 13JAN2025 04JUN2025 23.4811</t>
  </si>
  <si>
    <t>SWAP ISAE4 26DEC2024 05NOV2025 23.1369</t>
  </si>
  <si>
    <t>SWAP ITSA2_25 21FEB2025 15APR2025 0</t>
  </si>
  <si>
    <t>SWAP ITSA4 05DEC2024 04JUN2025 0</t>
  </si>
  <si>
    <t>SWAP ITSA4 05JUN2024 04JUN2025 9.78</t>
  </si>
  <si>
    <t>SWAP ITSA4 05NOV2024 04JUN2025 10.6188</t>
  </si>
  <si>
    <t>SWAP ITSA4 07NOV2024 04JUN2025 10.9292</t>
  </si>
  <si>
    <t>SWAP ITSA4 10DEC2024 04JUN2025 9.2694</t>
  </si>
  <si>
    <t>SWAP ITSA4 11DEC2024 04JUN2025 9.2984</t>
  </si>
  <si>
    <t>SWAP ITSA4 13DEC2024 04JUN2025 9.413</t>
  </si>
  <si>
    <t>SWAP ITSA4 22OCT2024 04JUN2025 10.5895</t>
  </si>
  <si>
    <t>SWAP ITSA4 23SEP2024 04JUN2025 11.1988</t>
  </si>
  <si>
    <t>SWAP ITSA4 26DEC2024 04JUN2025 8.8053</t>
  </si>
  <si>
    <t>SWAP ITSA4 28FEB2025 04JUN2025 9.0181</t>
  </si>
  <si>
    <t>SWAP ITUB4 03DEC2024 04JUN2025 32.6290054945055</t>
  </si>
  <si>
    <t>SWAP ITUB4 04NOV2024 04JUN2025 35.2831</t>
  </si>
  <si>
    <t>SWAP ITUB4 05JUN2024 04JUN2025 31.45</t>
  </si>
  <si>
    <t>SWAP ITUB4 05SEP2024 04JUN2025 36.906</t>
  </si>
  <si>
    <t>SWAP ITUB4 06DEC2024 04JUN2025 32.5903405835544</t>
  </si>
  <si>
    <t>SWAP ITUB4 06JAN2025 04JUN2025 30.7087</t>
  </si>
  <si>
    <t>SWAP ITUB4 06JUN2024 04JUN2025 31.5884</t>
  </si>
  <si>
    <t>SWAP ITUB4 06MAR2025 05NOV2025 32.249</t>
  </si>
  <si>
    <t>SWAP ITUB4 07JAN2025 04JUN2025 29.8468</t>
  </si>
  <si>
    <t>SWAP ITUB4 07JUN2024 04JUN2025 31.5212</t>
  </si>
  <si>
    <t>SWAP ITUB4 07NOV2024 04JUN2025 36.1383</t>
  </si>
  <si>
    <t>SWAP ITUB4 08JAN2025 05NOV2025 30.517441</t>
  </si>
  <si>
    <t>SWAP ITUB4 08JAN2025 05NOV2025 31.1075</t>
  </si>
  <si>
    <t>SWAP ITUB4 08NOV2024 04JUN2025 36.1216</t>
  </si>
  <si>
    <t>SWAP ITUB4 09DEC2024 04JUN2025 33.2295</t>
  </si>
  <si>
    <t>SWAP ITUB4 10FEB2025 04JUN2025 34.0051</t>
  </si>
  <si>
    <t>SWAP ITUB4 11MAR2025 17APR2025 32.8546</t>
  </si>
  <si>
    <t>SWAP ITUB4 11SEP2024 04JUN2025 37.275</t>
  </si>
  <si>
    <t>SWAP ITUB4 16DEC2024 04JUN2025 32.9438</t>
  </si>
  <si>
    <t>SWAP ITUB4 16JAN2025 05NOV2025 30.9078</t>
  </si>
  <si>
    <t>SWAP ITUB4 16OCT2024 04JUN2025 34.8314</t>
  </si>
  <si>
    <t>SWAP ITUB4 19DEC2024 04JUN2025 31.9214</t>
  </si>
  <si>
    <t>SWAP ITUB4 19FEB2025 17APR2025 35.03</t>
  </si>
  <si>
    <t>SWAP ITUB4 20SEP2024 04JUN2025 36.8749</t>
  </si>
  <si>
    <t>SWAP ITUB4 21JAN2025 05NOV2025 32.3291</t>
  </si>
  <si>
    <t>SWAP ITUB4 22OCT2024 04JUN2025 35.1326</t>
  </si>
  <si>
    <t>SWAP ITUB4 23DEC2024 04JUN2025 31.4021</t>
  </si>
  <si>
    <t>SWAP ITUB4 24DEC2024 04JUN2025 31.3790436399217</t>
  </si>
  <si>
    <t>SWAP ITUB4 24SEP2024 04JUN2025 36.0198</t>
  </si>
  <si>
    <t>SWAP ITUB4 25FEB2025 04JUN2025 32.7388</t>
  </si>
  <si>
    <t>SWAP ITUB4 26DEC2024 05NOV2025 30.8993</t>
  </si>
  <si>
    <t>SWAP ITUB4 27JAN2025 05NOV2025 32.6093</t>
  </si>
  <si>
    <t>SWAP ITUB4 27NOV2024 04JUN2025 34.1459</t>
  </si>
  <si>
    <t>SWAP ITUB4 28FEB2025 04JUN2025 32.9096</t>
  </si>
  <si>
    <t>SWAP ITUB4 28JAN2025 05NOV2025 32.5282</t>
  </si>
  <si>
    <t>SWAP ITUB4 28NOV2024 04JUN2025 34.4727</t>
  </si>
  <si>
    <t>SWAP ITUB4 29NOV2024 04JUN2025 34.0033</t>
  </si>
  <si>
    <t>SWAP JBSS3 05JUN2024 04JUN2025 28.78</t>
  </si>
  <si>
    <t>SWAP JBSS3 05NOV2024 04JUN2025 35.9794</t>
  </si>
  <si>
    <t>SWAP JBSS3 06JUN2024 04JUN2025 28.6204</t>
  </si>
  <si>
    <t>SWAP JBSS3 06MAR2025 05NOV2025 31.1981</t>
  </si>
  <si>
    <t>SWAP JBSS3 07FEB2025 05NOV2025 34.8091</t>
  </si>
  <si>
    <t>SWAP JBSS3 07MAR2025 05NOV2025 31.1284</t>
  </si>
  <si>
    <t>SWAP JBSS3 08NOV2024 04JUN2025 36.9641</t>
  </si>
  <si>
    <t>SWAP JBSS3 11FEB2025 05NOV2025 34.5163</t>
  </si>
  <si>
    <t>SWAP JBSS3 11NOV2024 04JUN2025 35.6479</t>
  </si>
  <si>
    <t>SWAP JBSS3 13NOV2024 04JUN2025 35.3096</t>
  </si>
  <si>
    <t>SWAP JBSS3 14NOV2024 04JUN2025 35.6299</t>
  </si>
  <si>
    <t>SWAP JBSS3 16DEC2024 04JUN2025 38.2636</t>
  </si>
  <si>
    <t>SWAP JBSS3 16JAN2025 05NOV2025 35.0984</t>
  </si>
  <si>
    <t>SWAP JBSS3 28FEB2025 05NOV2025 30.9378</t>
  </si>
  <si>
    <t>SWAP KLBN11 08NOV2024 04JUN2025 22.194</t>
  </si>
  <si>
    <t>SWAP KLBN11 21OCT2024 04JUN2025 20.4749</t>
  </si>
  <si>
    <t>SWAP KLBN11 22JAN2025 04JUN2025 22.151</t>
  </si>
  <si>
    <t>SWAP KLBN11 22OCT2024 04JUN2025 20.5311</t>
  </si>
  <si>
    <t>SWAP KLBN11 29NOV2024 04JUN2025 21.2452</t>
  </si>
  <si>
    <t>SWAP LAVV3 03FEB2025 05NOV2025 8.30025</t>
  </si>
  <si>
    <t>SWAP LEVE3 07MAR2025 05NOV2025 27.8</t>
  </si>
  <si>
    <t>SWAP LJQQ3 24DEC2024 05NOV2025 2.472223</t>
  </si>
  <si>
    <t>SWAP LJQQ3 26DEC2024 05NOV2025 2.3007</t>
  </si>
  <si>
    <t>SWAP LREN3 07MAR2025 05NOV2025 11.2</t>
  </si>
  <si>
    <t>SWAP LREN3 11MAR2025 05NOV2025 11.5096</t>
  </si>
  <si>
    <t>SWAP LREN3 25FEB2025 04JUN2025 11.9306</t>
  </si>
  <si>
    <t>SWAP LREN3 26FEB2025 04JUN2025 11.2919</t>
  </si>
  <si>
    <t>SWAP LWSA3 04DEC2024 04JUN2025 3.6099</t>
  </si>
  <si>
    <t>SWAP LWSA3 13JAN2025 17APR2025 3.4069</t>
  </si>
  <si>
    <t>SWAP MDIA3 07MAR2025 05NOV2025 22.56</t>
  </si>
  <si>
    <t>SWAP MGLU3 07MAR2025 04JUN2025 7.28</t>
  </si>
  <si>
    <t>SWAP MGLU3 07MAR2025 05NOV2025 7.28</t>
  </si>
  <si>
    <t>SWAP MGLU3 07MAR2025 17APR2025 7.28</t>
  </si>
  <si>
    <t>SWAP MRFG3 05JUN2024 04JUN2025 11.47</t>
  </si>
  <si>
    <t>SWAP MRFG3 12JUL2024 04JUN2025 11.9667</t>
  </si>
  <si>
    <t>SWAP MRFG3 18DEC2024 04JUN2025 17.4671</t>
  </si>
  <si>
    <t>SWAP MRVE3 07MAR2025 04JUN2025 4.48</t>
  </si>
  <si>
    <t>SWAP MRVE3 07MAR2025 05NOV2025 4.48</t>
  </si>
  <si>
    <t>SWAP MULT3 06DEC2024 17APR2025 23.056</t>
  </si>
  <si>
    <t>SWAP MULT3 06JAN2025 05NOV2025 20.5372418918919</t>
  </si>
  <si>
    <t>SWAP MULT3 07JAN2025 05NOV2025 20.3683</t>
  </si>
  <si>
    <t>SWAP MULT3 08JAN2025 05NOV2025 20.7487</t>
  </si>
  <si>
    <t>SWAP MULT3 10FEB2025 05NOV2025 22.3207526315789</t>
  </si>
  <si>
    <t>SWAP MULT3 10JAN2025 05NOV2025 20.5585</t>
  </si>
  <si>
    <t>SWAP MULT3 13FEB2025 04JUN2025 22.4502</t>
  </si>
  <si>
    <t>SWAP MULT3 13FEB2025 05NOV2025 22.3172</t>
  </si>
  <si>
    <t>SWAP MULT3 14JAN2025 05NOV2025 20.2682</t>
  </si>
  <si>
    <t>SWAP MULT3 18DEC2024 04JUN2025 22.1918</t>
  </si>
  <si>
    <t>SWAP MULT3 18FEB2025 04JUN2025 22.5968891966759</t>
  </si>
  <si>
    <t>SWAP MULT3 19FEB2025 04JUN2025 23.2976</t>
  </si>
  <si>
    <t>SWAP MULT3 19FEB2025 05NOV2025 23.2116</t>
  </si>
  <si>
    <t>SWAP MULT3 20DEC2024 04JUN2025 21.6655</t>
  </si>
  <si>
    <t>SWAP MULT3 25FEB2025 04JUN2025 22.3782</t>
  </si>
  <si>
    <t>SWAP MULT3 30DEC2024 05NOV2025 21.23966708</t>
  </si>
  <si>
    <t>SWAP NEOE3 17FEB2025 04JUN2025 18.3833</t>
  </si>
  <si>
    <t>SWAP NTCO3 03FEB2025 17APR2025 12.4512</t>
  </si>
  <si>
    <t>SWAP NTCO3 05MAR2025 05NOV2025 13.3857924778761</t>
  </si>
  <si>
    <t>SWAP NTCO3 07MAR2025 05NOV2025 12.6514</t>
  </si>
  <si>
    <t>SWAP NTCO3 08JAN2025 04JUN2025 12.5181</t>
  </si>
  <si>
    <t>SWAP NTCO3 08JAN2025 05NOV2025 12.6583823</t>
  </si>
  <si>
    <t>SWAP NTCO3 09JAN2025 05NOV2025 12.8516</t>
  </si>
  <si>
    <t>SWAP NTCO3 10JAN2025 05NOV2025 12.8816</t>
  </si>
  <si>
    <t>SWAP NTCO3 11FEB2025 05NOV2025 12.6826</t>
  </si>
  <si>
    <t>SWAP NTCO3 11MAR2025 04JUN2025 13.4488</t>
  </si>
  <si>
    <t>SWAP NTCO3 11MAR2025 05NOV2025 13.332</t>
  </si>
  <si>
    <t>SWAP NTCO3 13JAN2025 05NOV2025 12.8916</t>
  </si>
  <si>
    <t>SWAP NTCO3 14JAN2025 05NOV2025 12.6314</t>
  </si>
  <si>
    <t>SWAP NTCO3 15JAN2025 05NOV2025 12.4212</t>
  </si>
  <si>
    <t>SWAP NTCO3 18DEC2024 04JUN2025 13.099</t>
  </si>
  <si>
    <t>SWAP NTCO3 18FEB2025 04JUN2025 13.2026</t>
  </si>
  <si>
    <t>SWAP NTCO3 19FEB2025 05NOV2025 14.0026</t>
  </si>
  <si>
    <t>SWAP NTCO3 21JAN2025 05NOV2025 12.5004</t>
  </si>
  <si>
    <t>SWAP NTCO3 24JAN2025 05NOV2025 12.8115</t>
  </si>
  <si>
    <t>SWAP NTCO3 27FEB2025 05NOV2025 13.2669</t>
  </si>
  <si>
    <t>SWAP NTCO3 29JAN2025 05NOV2025 12.251</t>
  </si>
  <si>
    <t>SWAP NTCO3 31JAN2025 17APR2025 12.183</t>
  </si>
  <si>
    <t>SWAP ODPV3 07MAR2025 04JUN2025 10.58</t>
  </si>
  <si>
    <t>SWAP ODPV3 07MAR2025 17APR2025 10.58</t>
  </si>
  <si>
    <t>SWAP ORVR3 17FEB2025 05NOV2025 43.359</t>
  </si>
  <si>
    <t>SWAP ORVR3 26DEC2024 05NOV2025 38.8016</t>
  </si>
  <si>
    <t>SWAP PCAR3 30APR2024 17APR2025 2.72</t>
  </si>
  <si>
    <t>SWAP PETR3 05JUN2024 04JUN2025 40.25</t>
  </si>
  <si>
    <t>SWAP PETR3 05MAR2025 04JUN2025 38.9461577792124</t>
  </si>
  <si>
    <t>SWAP PETR3 05MAR2025 05NOV2025 38.6933</t>
  </si>
  <si>
    <t>SWAP PETR3 21FEB2025 04JUN2025 41.7475</t>
  </si>
  <si>
    <t>SWAP PETR3 24FEB2025 04JUN2025 42.3817</t>
  </si>
  <si>
    <t>SWAP PETR4 03FEB2025 05NOV2025 36.9232</t>
  </si>
  <si>
    <t>SWAP PETR4 03SEP2024 04JUN2025 39.2753</t>
  </si>
  <si>
    <t>SWAP PETR4 04FEB2025 05NOV2025 37.4435</t>
  </si>
  <si>
    <t>SWAP PETR4 05FEB2025 05NOV2025 37.6038</t>
  </si>
  <si>
    <t>SWAP PETR4 05MAR2025 04JUN2025 35.9737</t>
  </si>
  <si>
    <t>SWAP PETR4 05MAR2025 05NOV2025 36.1170609756098</t>
  </si>
  <si>
    <t>SWAP PETR4 05MAR2025 17APR2025 36.3572</t>
  </si>
  <si>
    <t>SWAP PETR4 06DEC2024 04JUN2025 39.4805</t>
  </si>
  <si>
    <t>SWAP PETR4 06FEB2025 04JUN2025 37.2315</t>
  </si>
  <si>
    <t>SWAP PETR4 06FEB2025 05NOV2025 37.1384</t>
  </si>
  <si>
    <t>SWAP PETR4 06JAN2025 04JUN2025 36.8565</t>
  </si>
  <si>
    <t>SWAP PETR4 06MAR2025 05NOV2025 36.2126</t>
  </si>
  <si>
    <t>SWAP PETR4 07JAN2025 05NOV2025 36.4728</t>
  </si>
  <si>
    <t>SWAP PETR4 08JAN2025 05NOV2025 36.1525</t>
  </si>
  <si>
    <t>SWAP PETR4 08NOV2024 04JUN2025 35.4749</t>
  </si>
  <si>
    <t>SWAP PETR4 09OCT2024 04JUN2025 38.2244</t>
  </si>
  <si>
    <t>SWAP PETR4 11FEB2025 04JUN2025 36.9156</t>
  </si>
  <si>
    <t>SWAP PETR4 12NOV2024 04JUN2025 36.1019</t>
  </si>
  <si>
    <t>SWAP PETR4 13NOV2024 04JUN2025 36.0477</t>
  </si>
  <si>
    <t>SWAP PETR4 16DEC2024 04JUN2025 38.3861</t>
  </si>
  <si>
    <t>SWAP PETR4 16OCT2024 04JUN2025 37.8188</t>
  </si>
  <si>
    <t>SWAP PETR4 18NOV2024 04JUN2025 36.9927</t>
  </si>
  <si>
    <t>SWAP PETR4 18SEP2024 04JUN2025 37.3998</t>
  </si>
  <si>
    <t>SWAP PETR4 21AUG2024 04JUN2025 38.6281</t>
  </si>
  <si>
    <t>SWAP PETR4 21NOV2024 04JUN2025 37.7247</t>
  </si>
  <si>
    <t>SWAP PETR4 22OCT2024 04JUN2025 36.6084</t>
  </si>
  <si>
    <t>SWAP PETR4 23OCT2024 04JUN2025 36.8614</t>
  </si>
  <si>
    <t>SWAP PETR4 25SEP2024 04JUN2025 36.7527</t>
  </si>
  <si>
    <t>SWAP PETR4 26DEC2024 05NOV2025 36.8711</t>
  </si>
  <si>
    <t>SWAP PETR4 27JAN2025 04JUN2025 37.035</t>
  </si>
  <si>
    <t>SWAP PETR4 28AUG2024 04JUN2025 39.005</t>
  </si>
  <si>
    <t>SWAP PETR4 30JAN2025 05NOV2025 37.1834</t>
  </si>
  <si>
    <t>SWAP PETR4 30OCT2024 04JUN2025 36.0431</t>
  </si>
  <si>
    <t>SWAP PETZ3 07MAR2025 04JUN2025 3.95</t>
  </si>
  <si>
    <t>SWAP PETZ3 07MAR2025 05NOV2025 3.95</t>
  </si>
  <si>
    <t>SWAP PETZ3 07MAR2025 17APR2025 3.95</t>
  </si>
  <si>
    <t>SWAP PNVL3 26DEC2024 05NOV2025 8.7826</t>
  </si>
  <si>
    <t>SWAP POMO4 07JAN2025 04JUN2025 7.3566</t>
  </si>
  <si>
    <t>SWAP PRIO3 01OCT2024 04JUN2025 44.0002</t>
  </si>
  <si>
    <t>SWAP PRIO3 03DEC2024 04JUN2025 39.9152</t>
  </si>
  <si>
    <t>SWAP PRIO3 03OCT2024 04JUN2025 44.3644</t>
  </si>
  <si>
    <t>SWAP PRIO3 04SEP2024 04JUN2025 46.7729</t>
  </si>
  <si>
    <t>SWAP PRIO3 05JUN2024 04JUN2025 41.17</t>
  </si>
  <si>
    <t>SWAP PRIO3 05MAR2025 17APR2025 37.0876</t>
  </si>
  <si>
    <t>SWAP PRIO3 05NOV2024 04JUN2025 39.9591</t>
  </si>
  <si>
    <t>SWAP PRIO3 06DEC2024 04JUN2025 40.7933</t>
  </si>
  <si>
    <t>SWAP PRIO3 06FEB2025 04JUN2025 41.3452</t>
  </si>
  <si>
    <t>SWAP PRIO3 06JAN2025 04JUN2025 41.0769</t>
  </si>
  <si>
    <t>SWAP PRIO3 06MAR2025 04JUN2025 38.555</t>
  </si>
  <si>
    <t>SWAP PRIO3 06MAR2025 17APR2025 38.4508</t>
  </si>
  <si>
    <t>SWAP PRIO3 06NOV2024 04JUN2025 41.2564</t>
  </si>
  <si>
    <t>SWAP PRIO3 07AUG2024 04JUN2025 45.3338</t>
  </si>
  <si>
    <t>SWAP PRIO3 08AUG2024 04JUN2025 43.7527</t>
  </si>
  <si>
    <t>SWAP PRIO3 08JAN2025 05NOV2025 41.3436</t>
  </si>
  <si>
    <t>SWAP PRIO3 08NOV2024 04JUN2025 40.2825</t>
  </si>
  <si>
    <t>SWAP PRIO3 11SEP2024 04JUN2025 42.4458</t>
  </si>
  <si>
    <t>SWAP PRIO3 12JUN2024 04JUN2025 40.7411915985998</t>
  </si>
  <si>
    <t>SWAP PRIO3 13AUG2024 04JUN2025 48.337</t>
  </si>
  <si>
    <t>SWAP PRIO3 13NOV2024 04JUN2025 39.4333</t>
  </si>
  <si>
    <t>SWAP PRIO3 17DEC2024 04JUN2025 41.5596</t>
  </si>
  <si>
    <t>SWAP PRIO3 17JAN2025 05NOV2025 42.7184</t>
  </si>
  <si>
    <t>SWAP PRIO3 18DEC2024 04JUN2025 41.5265</t>
  </si>
  <si>
    <t>SWAP PRIO3 19DEC2024 04JUN2025 41.3481</t>
  </si>
  <si>
    <t>SWAP PRIO3 19FEB2025 05NOV2025 38.9658</t>
  </si>
  <si>
    <t>SWAP PRIO3 20DEC2024 04JUN2025 39.8737</t>
  </si>
  <si>
    <t>SWAP PRIO3 21FEB2025 05NOV2025 39.3154</t>
  </si>
  <si>
    <t>SWAP PRIO3 21JUN2024 04JUN2025 41.1787</t>
  </si>
  <si>
    <t>SWAP PRIO3 22JAN2025 05NOV2025 43.0187</t>
  </si>
  <si>
    <t>SWAP PRIO3 22OCT2024 04JUN2025 42.3274</t>
  </si>
  <si>
    <t>SWAP PRIO3 23DEC2024 04JUN2025 40.2025</t>
  </si>
  <si>
    <t>SWAP PRIO3 23SEP2024 04JUN2025 43.624</t>
  </si>
  <si>
    <t>SWAP PRIO3 24OCT2024 04JUN2025 41.7336</t>
  </si>
  <si>
    <t>SWAP PRIO3 25FEB2025 05NOV2025 37.7139</t>
  </si>
  <si>
    <t>SWAP PRIO3 25FEB2025 17APR2025 39.18</t>
  </si>
  <si>
    <t>SWAP PRIO3 26DEC2024 05NOV2025 39.0104</t>
  </si>
  <si>
    <t>SWAP PRIO3 26FEB2025 05NOV2025 36.8932</t>
  </si>
  <si>
    <t>SWAP PRIO3 30AUG2024 04JUN2025 47.2632</t>
  </si>
  <si>
    <t>SWAP PRIO3 30AUG2024 04JUN2025 47.4095</t>
  </si>
  <si>
    <t>SWAP PRIO3 30SEP2024 04JUN2025 42.7824</t>
  </si>
  <si>
    <t>SWAP PSSA3 06MAR2025 05NOV2025 37.824</t>
  </si>
  <si>
    <t>SWAP PSSA3 07JAN2025 04JUN2025 34.8013</t>
  </si>
  <si>
    <t>SWAP PSSA3 10MAR2025 05NOV2025 37.3836</t>
  </si>
  <si>
    <t>SWAP PSSA3 11MAR2025 05NOV2025 37.7539</t>
  </si>
  <si>
    <t>SWAP PSSA3 24FEB2025 05NOV2025 39.499</t>
  </si>
  <si>
    <t>SWAP QUAL3 07MAR2025 17APR2025 1.68</t>
  </si>
  <si>
    <t>SWAP RADL3 07MAR2025 04JUN2025 17.83</t>
  </si>
  <si>
    <t>SWAP RADL3 07MAR2025 04JUN2025 17.8839</t>
  </si>
  <si>
    <t>SWAP RADL3 07MAR2025 05NOV2025 17.83</t>
  </si>
  <si>
    <t>SWAP RADL3 10MAR2025 04JUN2025 17.6905</t>
  </si>
  <si>
    <t>SWAP RAIL3 03DEC2024 04JUN2025 19.2003</t>
  </si>
  <si>
    <t>SWAP RAIL3 04DEC2024 04JUN2025 19.0812</t>
  </si>
  <si>
    <t>SWAP RAIL3 04FEB2025 05NOV2025 18.3565</t>
  </si>
  <si>
    <t>SWAP RAIL3 06JAN2025 05NOV2025 17.6859</t>
  </si>
  <si>
    <t>SWAP RAIL3 08JAN2025 05NOV2025 18.0814</t>
  </si>
  <si>
    <t>SWAP RAIL3 09DEC2024 04JUN2025 19.7128</t>
  </si>
  <si>
    <t>SWAP RAIL3 11MAR2025 05NOV2025 17.8368</t>
  </si>
  <si>
    <t>SWAP RAIL3 12DEC2024 04JUN2025 19.5458</t>
  </si>
  <si>
    <t>SWAP RAIL3 12NOV2024 04JUN2025 18.8919</t>
  </si>
  <si>
    <t>SWAP RAIL3 16JAN2025 05NOV2025 17.3665</t>
  </si>
  <si>
    <t>SWAP RAIL3 17DEC2024 04JUN2025 19.2792</t>
  </si>
  <si>
    <t>SWAP RAIL3 17FEB2025 05NOV2025 18.7368</t>
  </si>
  <si>
    <t>SWAP RAIL3 26DEC2024 05NOV2025 18.1955</t>
  </si>
  <si>
    <t>SWAP RAIL3 26NOV2024 04JUN2025 20.0521</t>
  </si>
  <si>
    <t>SWAP RAIZ4 05JUN2024 04JUN2025 2.8</t>
  </si>
  <si>
    <t>SWAP RDOR3 01NOV2024 04JUN2025 29.5342</t>
  </si>
  <si>
    <t>SWAP RDOR3 03DEC2024 04JUN2025 26.932</t>
  </si>
  <si>
    <t>SWAP RDOR3 05MAR2025 05NOV2025 27.9852</t>
  </si>
  <si>
    <t>SWAP RDOR3 06JAN2025 05NOV2025 25.2527</t>
  </si>
  <si>
    <t>SWAP RDOR3 06MAR2025 05NOV2025 27.1144</t>
  </si>
  <si>
    <t>SWAP RDOR3 07AUG2024 04JUN2025 27.5248</t>
  </si>
  <si>
    <t>SWAP RDOR3 07JAN2025 05NOV2025 25.0525</t>
  </si>
  <si>
    <t>SWAP RDOR3 07MAR2025 05NOV2025 26.8341</t>
  </si>
  <si>
    <t>SWAP RDOR3 08JAN2025 05NOV2025 25.44808268</t>
  </si>
  <si>
    <t>SWAP RDOR3 08JAN2025 05NOV2025 25.811</t>
  </si>
  <si>
    <t>SWAP RDOR3 09AUG2024 04JUN2025 29.0189</t>
  </si>
  <si>
    <t>SWAP RDOR3 16DEC2024 04JUN2025 27.4715</t>
  </si>
  <si>
    <t>SWAP RDOR3 17DEC2024 04JUN2025 27.4597</t>
  </si>
  <si>
    <t>SWAP RDOR3 25FEB2025 17APR2025 26.58</t>
  </si>
  <si>
    <t>SWAP RDOR3 26JUN2024 04JUN2025 26.7217</t>
  </si>
  <si>
    <t>SWAP RDOR3 31DEC2024 05NOV2025 25.25200637</t>
  </si>
  <si>
    <t>SWAP RECV3 07MAR2025 04JUN2025 15.39</t>
  </si>
  <si>
    <t>SWAP RECV3 07MAR2025 05NOV2025 15.3662</t>
  </si>
  <si>
    <t>SWAP RECV3 07MAR2025 05NOV2025 15.39</t>
  </si>
  <si>
    <t>SWAP RENT3 03DEC2024 04JUN2025 37.5646548746518</t>
  </si>
  <si>
    <t>SWAP RENT3 06DEC2024 04JUN2025 37.0448</t>
  </si>
  <si>
    <t>SWAP RENT3 06MAR2025 05NOV2025 27.7236</t>
  </si>
  <si>
    <t>SWAP RENT3 08JAN2025 05NOV2025 33.349988</t>
  </si>
  <si>
    <t>SWAP RENT3 09JAN2025 05NOV2025 32.229</t>
  </si>
  <si>
    <t>SWAP RENT3 10OCT2024 04JUN2025 41.9769</t>
  </si>
  <si>
    <t>SWAP RENT3 16OCT2024 04JUN2025 42.6321</t>
  </si>
  <si>
    <t>SWAP RENT3 17JAN2025 04JUN2025 30.4974</t>
  </si>
  <si>
    <t>SWAP RENT3 18FEB2025 05NOV2025 30.2472</t>
  </si>
  <si>
    <t>SWAP RENT3 19FEB2025 17APR2025 32.7105</t>
  </si>
  <si>
    <t>SWAP RENT3 20FEB2025 05NOV2025 32.3115</t>
  </si>
  <si>
    <t>SWAP RENT3 23DEC2024 04JUN2025 32.013</t>
  </si>
  <si>
    <t>SWAP RENT3 24JAN2025 05NOV2025 30.6676</t>
  </si>
  <si>
    <t>SWAP RENT3 26NOV2024 04JUN2025 43.6015</t>
  </si>
  <si>
    <t>SWAP RENT3 27NOV2024 04JUN2025 43.8274</t>
  </si>
  <si>
    <t>SWAP RENT3 30JAN2025 04JUN2025 31.4019</t>
  </si>
  <si>
    <t>SWAP SANB11 03OCT2024 04JUN2025 28.6962</t>
  </si>
  <si>
    <t>SWAP SANB11 06NOV2024 04JUN2025 27.1282</t>
  </si>
  <si>
    <t>SWAP SANB11 08AUG2024 04JUN2025 28.4553</t>
  </si>
  <si>
    <t>SWAP SANB11 09SEP2024 04JUN2025 31.5784</t>
  </si>
  <si>
    <t>SWAP SANB11 12AUG2024 04JUN2025 28.3255</t>
  </si>
  <si>
    <t>SWAP SANB11 26DEC2024 05NOV2025 23.5471</t>
  </si>
  <si>
    <t>SWAP SANB11 26FEB2025 04JUN2025 26.5042</t>
  </si>
  <si>
    <t>SWAP SANB11 28FEB2025 04JUN2025 26.7534</t>
  </si>
  <si>
    <t>SWAP SANB11 30AUG2024 04JUN2025 31.532</t>
  </si>
  <si>
    <t>SWAP SANB11 31OCT2024 04JUN2025 28.4908</t>
  </si>
  <si>
    <t>SWAP SBFG3 14FEB2025 05NOV2025 10.2095</t>
  </si>
  <si>
    <t>SWAP SBFG3 17FEB2025 05NOV2025 10.2392</t>
  </si>
  <si>
    <t>SWAP SBFG3 22JAN2025 05NOV2025 10.9799</t>
  </si>
  <si>
    <t>SWAP SBFG3 24JAN2025 05NOV2025 10.9599</t>
  </si>
  <si>
    <t>SWAP SBSP3 02AUG2024 04JUN2025 88.6367</t>
  </si>
  <si>
    <t>SWAP SBSP3 02JAN2025 04JUN2025 88.6515</t>
  </si>
  <si>
    <t>SWAP SBSP3 04NOV2024 04JUN2025 92.3619</t>
  </si>
  <si>
    <t>SWAP SBSP3 06JAN2025 04JUN2025 88.57</t>
  </si>
  <si>
    <t>SWAP SBSP3 06JAN2025 05NOV2025 88.5496</t>
  </si>
  <si>
    <t>SWAP SBSP3 07JAN2025 04JUN2025 88.272</t>
  </si>
  <si>
    <t>SWAP SBSP3 07JAN2025 05NOV2025 86.93</t>
  </si>
  <si>
    <t>SWAP SBSP3 07MAR2025 05NOV2025 94.2948</t>
  </si>
  <si>
    <t>SWAP SBSP3 07NOV2024 04JUN2025 91.3779</t>
  </si>
  <si>
    <t>SWAP SBSP3 08JAN2025 05NOV2025 87.698858</t>
  </si>
  <si>
    <t>SWAP SBSP3 08JAN2025 05NOV2025 87.9551</t>
  </si>
  <si>
    <t>SWAP SBSP3 08JAN2025 05NOV2025 88.13064626</t>
  </si>
  <si>
    <t>SWAP SBSP3 09JAN2025 05NOV2025 88.4095</t>
  </si>
  <si>
    <t>SWAP SBSP3 10FEB2025 04JUN2025 97.5077</t>
  </si>
  <si>
    <t>SWAP SBSP3 10JAN2025 04JUN2025 87.4382</t>
  </si>
  <si>
    <t>SWAP SBSP3 10JAN2025 05NOV2025 87.3365</t>
  </si>
  <si>
    <t>SWAP SBSP3 15OCT2024 04JUN2025 87.9672</t>
  </si>
  <si>
    <t>SWAP SBSP3 16OCT2024 04JUN2025 89.3208</t>
  </si>
  <si>
    <t>SWAP SBSP3 17FEB2025 04JUN2025 98.6808</t>
  </si>
  <si>
    <t>SWAP SBSP3 19FEB2025 17APR2025 101.1243</t>
  </si>
  <si>
    <t>SWAP SBSP3 22NOV2024 04JUN2025 98.2159</t>
  </si>
  <si>
    <t>SWAP SBSP3 23JUL2024 04JUN2025 67</t>
  </si>
  <si>
    <t>SWAP SBSP3 24DEC2024 04JUN2025 87.3484</t>
  </si>
  <si>
    <t>SWAP SBSP3 26DEC2024 04JUN2025 88.5564</t>
  </si>
  <si>
    <t>SWAP SBSP3 26DEC2024 05NOV2025 89.929</t>
  </si>
  <si>
    <t>SWAP SBSP3 27FEB2025 05NOV2025 97.918</t>
  </si>
  <si>
    <t>SWAP SBSP3 28FEB2025 05NOV2025 96.2766</t>
  </si>
  <si>
    <t>SWAP SBSP3 29JAN2025 05NOV2025 94.0846</t>
  </si>
  <si>
    <t>SWAP SBSP3 30DEC2024 04JUN2025 88.9029</t>
  </si>
  <si>
    <t>SWAP SBSP3 30DEC2024 05NOV2025 88.51196747</t>
  </si>
  <si>
    <t>SWAP SBSP3 31DEC2024 05NOV2025 89.3904</t>
  </si>
  <si>
    <t>SWAP SBSP3 31JUL2024 04JUN2025 85.9675</t>
  </si>
  <si>
    <t>SWAP SIMH3 07MAR2025 04JUN2025 3.03</t>
  </si>
  <si>
    <t>SWAP SIMH3 07MAR2025 05NOV2025 3.03</t>
  </si>
  <si>
    <t>SWAP SLCE3 05JUN2024 04JUN2025 17.43</t>
  </si>
  <si>
    <t>SWAP SLCE3 07FEB2025 04JUN2025 18.0385</t>
  </si>
  <si>
    <t>SWAP SLCE3 07FEB2025 05NOV2025 18.0558</t>
  </si>
  <si>
    <t>SWAP SLCE3 11FEB2025 05NOV2025 18.0017</t>
  </si>
  <si>
    <t>SWAP SLCE3 21JAN2025 05NOV2025 17.9195</t>
  </si>
  <si>
    <t>SWAP SMAL11 07MAR2025 05NOV2025 87.77</t>
  </si>
  <si>
    <t>SWAP SMAL11 07MAR2025 17APR2025 87.77</t>
  </si>
  <si>
    <t>SWAP SMFT3 02AUG2024 04JUN2025 20.968</t>
  </si>
  <si>
    <t>SWAP SMFT3 04DEC2024 05NOV2025 18.2</t>
  </si>
  <si>
    <t>SWAP SMFT3 05AUG2024 04JUN2025 20.9615</t>
  </si>
  <si>
    <t>SWAP SMFT3 05JUN2024 04JUN2025 23</t>
  </si>
  <si>
    <t>SWAP SMFT3 06AUG2024 04JUN2025 20.6144</t>
  </si>
  <si>
    <t>SWAP SMFT3 07NOV2024 04JUN2025 21.5591</t>
  </si>
  <si>
    <t>SWAP SMFT3 08JAN2025 05NOV2025 17.369</t>
  </si>
  <si>
    <t>SWAP SMFT3 08OCT2024 04JUN2025 22.1461</t>
  </si>
  <si>
    <t>SWAP SMFT3 09AUG2024 04JUN2025 21.3649</t>
  </si>
  <si>
    <t>SWAP SMFT3 10JUN2024 04JUN2025 22.5696</t>
  </si>
  <si>
    <t>SWAP SMFT3 11OCT2024 04JUN2025 22.2405</t>
  </si>
  <si>
    <t>SWAP SMFT3 11SEP2024 04JUN2025 22.3723</t>
  </si>
  <si>
    <t>SWAP SMFT3 18JUL2024 04JUN2025 22.7705</t>
  </si>
  <si>
    <t>SWAP SMFT3 20FEB2025 17APR2025 19.7778</t>
  </si>
  <si>
    <t>SWAP SMFT3 21FEB2025 05NOV2025 19.3718</t>
  </si>
  <si>
    <t>SWAP SMFT3 23AUG2024 04JUN2025 23.2402</t>
  </si>
  <si>
    <t>SWAP SMFT3 23OCT2024 04JUN2025 21.7135</t>
  </si>
  <si>
    <t>SWAP SMFT3 24JUL2024 04JUN2025 22.5648</t>
  </si>
  <si>
    <t>SWAP SMFT3 26DEC2024 05NOV2025 17.1952</t>
  </si>
  <si>
    <t>SWAP SMFT3 26SEP2024 04JUN2025 21.7184</t>
  </si>
  <si>
    <t>SWAP SMFT3 31JAN2025 05NOV2025 19.0872</t>
  </si>
  <si>
    <t>SWAP SMFT3 31JUL2024 04JUN2025 21.0709</t>
  </si>
  <si>
    <t>SWAP SMTO3 28JUN2024 04JUN2025 33.4584</t>
  </si>
  <si>
    <t>SWAP SOJA3 26DEC2024 05NOV2025 10.4131</t>
  </si>
  <si>
    <t>SWAP SRNA3 17FEB2025 04JUN2025 7.2617</t>
  </si>
  <si>
    <t>SWAP STBP3 06SEP2024 04JUN2025 14.0018</t>
  </si>
  <si>
    <t>SWAP STBP3 07JAN2025 05NOV2025 13.2119</t>
  </si>
  <si>
    <t>SWAP STBP3 15JAN2025 04JUN2025 13.1418</t>
  </si>
  <si>
    <t>SWAP SUZB3 04DEC2024 04JUN2025 62.6637</t>
  </si>
  <si>
    <t>SWAP SUZB3 04FEB2025 05NOV2025 62.7164</t>
  </si>
  <si>
    <t>SWAP SUZB3 05DEC2024 04JUN2025 62.1867</t>
  </si>
  <si>
    <t>SWAP SUZB3 06JAN2025 04JUN2025 62.7908</t>
  </si>
  <si>
    <t>SWAP SUZB3 07FEB2025 05NOV2025 60.1341</t>
  </si>
  <si>
    <t>SWAP SUZB3 07JAN2025 04JUN2025 63.3776</t>
  </si>
  <si>
    <t>SWAP SUZB3 07JAN2025 05NOV2025 63.1741</t>
  </si>
  <si>
    <t>SWAP SUZB3 07MAR2025 17APR2025 55.37</t>
  </si>
  <si>
    <t>SWAP SUZB3 08JAN2025 05NOV2025 62.2353</t>
  </si>
  <si>
    <t>SWAP SUZB3 08NOV2024 04JUN2025 59.921</t>
  </si>
  <si>
    <t>SWAP SUZB3 14JAN2025 05NOV2025 61.7555</t>
  </si>
  <si>
    <t>SWAP SUZB3 16JAN2025 04JUN2025 61.4933</t>
  </si>
  <si>
    <t>SWAP SUZB3 17FEB2025 05NOV2025 59.4269</t>
  </si>
  <si>
    <t>SWAP SUZB3 20DEC2024 04JUN2025 62.113</t>
  </si>
  <si>
    <t>SWAP SUZB3 21FEB2025 04JUN2025 58.1467</t>
  </si>
  <si>
    <t>SWAP SUZB3 23OCT2024 04JUN2025 56.5955</t>
  </si>
  <si>
    <t>SWAP SUZB3 25NOV2024 04JUN2025 60.6256</t>
  </si>
  <si>
    <t>SWAP SUZB3 26DEC2024 05NOV2025 61.2584</t>
  </si>
  <si>
    <t>SWAP SUZB3 26NOV2024 04JUN2025 60.6423</t>
  </si>
  <si>
    <t>SWAP SUZB3 29NOV2024 04JUN2025 59.892776433121</t>
  </si>
  <si>
    <t>SWAP SUZB3 30DEC2024 04JUN2025 61.8804</t>
  </si>
  <si>
    <t>SWAP TAEE11 07MAR2025 04JUN2025 33.09</t>
  </si>
  <si>
    <t>SWAP TFCO4 08JAN2025 05NOV2025 8.867974</t>
  </si>
  <si>
    <t>SWAP TIMS3 07MAR2025 04JUN2025 16.32</t>
  </si>
  <si>
    <t>SWAP TIMS3 07MAR2025 05NOV2025 16.32</t>
  </si>
  <si>
    <t>SWAP TOTS3 03DEC2024 04JUN2025 27.3689</t>
  </si>
  <si>
    <t>SWAP TOTS3 07MAR2025 05NOV2025 34.7</t>
  </si>
  <si>
    <t>SWAP TOTS3 16DEC2024 04JUN2025 30.4702</t>
  </si>
  <si>
    <t>SWAP TOTS3 25FEB2025 04JUN2025 35.0319</t>
  </si>
  <si>
    <t>SWAP TOTS3 25FEB2025 17APR2025 34.9795</t>
  </si>
  <si>
    <t>SWAP UGPA3 02SEP2024 04JUN2025 23.0769</t>
  </si>
  <si>
    <t>SWAP UGPA3 04DEC2024 04JUN2025 17.9483</t>
  </si>
  <si>
    <t>SWAP UGPA3 07AUG2024 04JUN2025 22.0954</t>
  </si>
  <si>
    <t>SWAP UGPA3 07MAR2025 05NOV2025 16</t>
  </si>
  <si>
    <t>SWAP UGPA3 08AUG2024 04JUN2025 22.3801</t>
  </si>
  <si>
    <t>SWAP UGPA3 09SEP2024 04JUN2025 23.1292</t>
  </si>
  <si>
    <t>SWAP UGPA3 10OCT2024 04JUN2025 20.9945</t>
  </si>
  <si>
    <t>SWAP UGPA3 11SEP2024 04JUN2025 24.0222</t>
  </si>
  <si>
    <t>SWAP UGPA3 12FEB2025 04JUN2025 16.4571</t>
  </si>
  <si>
    <t>SWAP UGPA3 13FEB2025 04JUN2025 16.7427</t>
  </si>
  <si>
    <t>SWAP UGPA3 27FEB2025 04JUN2025 16.7837</t>
  </si>
  <si>
    <t>SWAP UGPA3 29AUG2024 04JUN2025 23.5882</t>
  </si>
  <si>
    <t>SWAP UGPA3 29AUG2024 04JUN2025 23.667</t>
  </si>
  <si>
    <t>SWAP USIM5 25JUN2024 04JUN2025 7.5441</t>
  </si>
  <si>
    <t>SWAP USIM5 29OCT2024 04JUN2025 6.7561</t>
  </si>
  <si>
    <t>SWAP VALE3 03FEB2025 04JUN2025 54.1806</t>
  </si>
  <si>
    <t>SWAP VALE3 06FEB2025 04JUN2025 54.1423</t>
  </si>
  <si>
    <t>SWAP VALE3 08JAN2025 04JUN2025 52.7713</t>
  </si>
  <si>
    <t>SWAP VALE3 08JAN2025 05NOV2025 52.8502</t>
  </si>
  <si>
    <t>SWAP VALE3 09JAN2025 05NOV2025 52.5773</t>
  </si>
  <si>
    <t>SWAP VALE3 11DEC2024 04JUN2025 58.5331</t>
  </si>
  <si>
    <t>SWAP VALE3 12FEB2025 04JUN2025 55.4499</t>
  </si>
  <si>
    <t>SWAP VALE3 14FEB2025 04JUN2025 54.9275</t>
  </si>
  <si>
    <t>SWAP VALE3 14FEB2025 05NOV2025 55.1282</t>
  </si>
  <si>
    <t>SWAP VALE3 14FEB2025 17APR2025 54.8493</t>
  </si>
  <si>
    <t>SWAP VALE3 15JAN2025 04JUN2025 51.6093204753199</t>
  </si>
  <si>
    <t>SWAP VALE3 16JAN2025 04JUN2025 51.9215</t>
  </si>
  <si>
    <t>SWAP VALE3 17FEB2025 04JUN2025 54.7487</t>
  </si>
  <si>
    <t>SWAP VALE3 19FEB2025 05NOV2025 55.4449</t>
  </si>
  <si>
    <t>SWAP VALE3 20JAN2025 05NOV2025 52.4572</t>
  </si>
  <si>
    <t>SWAP VALE3 23DEC2024 04JUN2025 54.9073</t>
  </si>
  <si>
    <t>SWAP VALE3 23JAN2025 04JUN2025 54.0686</t>
  </si>
  <si>
    <t>SWAP VALE3 24FEB2025 05NOV2025 57.6518</t>
  </si>
  <si>
    <t>SWAP VALE3 25FEB2025 17APR2025 56.4313</t>
  </si>
  <si>
    <t>SWAP VALE3 27JAN2025 04JUN2025 52.0333</t>
  </si>
  <si>
    <t>SWAP VALE3 31JAN2025 04JUN2025 53.1982</t>
  </si>
  <si>
    <t>SWAP VAMO3 07MAR2025 04JUN2025 3.7</t>
  </si>
  <si>
    <t>SWAP VAMO3 07MAR2025 05NOV2025 3.7</t>
  </si>
  <si>
    <t>SWAP VBBR3 04NOV2024 04JUN2025 22.6157942275042</t>
  </si>
  <si>
    <t>SWAP VBBR3 05MAR2025 05NOV2025 17.7159</t>
  </si>
  <si>
    <t>SWAP VBBR3 06MAR2025 05NOV2025 17.8561</t>
  </si>
  <si>
    <t>SWAP VBBR3 07MAR2025 05NOV2025 16.6951</t>
  </si>
  <si>
    <t>SWAP VBBR3 08JAN2025 05NOV2025 17.5663</t>
  </si>
  <si>
    <t>SWAP VBBR3 10OCT2024 04JUN2025 23.1772</t>
  </si>
  <si>
    <t>SWAP VBBR3 11MAR2025 05NOV2025 16.3047</t>
  </si>
  <si>
    <t>SWAP VBBR3 12FEB2025 04JUN2025 16.9624453590193</t>
  </si>
  <si>
    <t>SWAP VBBR3 13FEB2025 04JUN2025 17.1723</t>
  </si>
  <si>
    <t>SWAP VBBR3 14FEB2025 05NOV2025 17.2555</t>
  </si>
  <si>
    <t>SWAP VBBR3 15OCT2024 04JUN2025 22.8376</t>
  </si>
  <si>
    <t>SWAP VBBR3 17FEB2025 04JUN2025 17.5133</t>
  </si>
  <si>
    <t>SWAP VBBR3 17FEB2025 05NOV2025 17.4957</t>
  </si>
  <si>
    <t>SWAP VBBR3 18FEB2025 04JUN2025 17.8248</t>
  </si>
  <si>
    <t>SWAP VBBR3 19FEB2025 05NOV2025 18.68</t>
  </si>
  <si>
    <t>SWAP VBBR3 21FEB2025 05NOV2025 17.9061</t>
  </si>
  <si>
    <t>SWAP VBBR3 25FEB2025 04JUN2025 17.477</t>
  </si>
  <si>
    <t>SWAP VBBR3 26DEC2024 05NOV2025 18.5156</t>
  </si>
  <si>
    <t>SWAP VBBR3 27FEB2025 05NOV2025 18.0082</t>
  </si>
  <si>
    <t>SWAP VBBR3 27NOV2024 04JUN2025 21.8678</t>
  </si>
  <si>
    <t>SWAP VBBR3 28FEB2025 04JUN2025 18.1471</t>
  </si>
  <si>
    <t>SWAP VBBR3 28FEB2025 05NOV2025 17.9322268088499</t>
  </si>
  <si>
    <t>SWAP VIVA3 03FEB2025 05NOV2025 21.35774</t>
  </si>
  <si>
    <t>SWAP VIVA3 05MAR2025 05NOV2025 17.6948742574257</t>
  </si>
  <si>
    <t>SWAP VIVA3 06FEB2025 05NOV2025 21.2591</t>
  </si>
  <si>
    <t>SWAP VIVA3 07FEB2025 04JUN2025 20.7953</t>
  </si>
  <si>
    <t>SWAP VIVA3 10FEB2025 05NOV2025 20.8921</t>
  </si>
  <si>
    <t>SWAP VIVA3 11FEB2025 04JUN2025 20.5447</t>
  </si>
  <si>
    <t>SWAP VIVA3 11FEB2025 05NOV2025 19.9592</t>
  </si>
  <si>
    <t>SWAP VIVA3 17FEB2025 05NOV2025 18.3165</t>
  </si>
  <si>
    <t>SWAP VIVA3 18FEB2025 04JUN2025 18.4666</t>
  </si>
  <si>
    <t>SWAP VIVA3 18FEB2025 05NOV2025 18.6225</t>
  </si>
  <si>
    <t>SWAP VIVA3 19FEB2025 17APR2025 19.393</t>
  </si>
  <si>
    <t>SWAP VIVT3 01JUL2024 04JUN2025 46.0594</t>
  </si>
  <si>
    <t>SWAP VIVT3 04JUL2024 04JUN2025 46.2222</t>
  </si>
  <si>
    <t>SWAP VIVT3 08JUL2024 04JUN2025 46.0841</t>
  </si>
  <si>
    <t>SWAP VIVT3 08OCT2024 04JUN2025 54.9128</t>
  </si>
  <si>
    <t>SWAP VIVT3 24JUN2024 04JUN2025 44.403</t>
  </si>
  <si>
    <t>SWAP WEGE3 02DEC2024 04JUN2025 52.7387</t>
  </si>
  <si>
    <t>SWAP WEGE3 05JUN2024 04JUN2025 37.34</t>
  </si>
  <si>
    <t>SWAP WEGE3 05NOV2024 04JUN2025 55.226</t>
  </si>
  <si>
    <t>SWAP WEGE3 06MAR2025 04JUN2025 48.3525</t>
  </si>
  <si>
    <t>SWAP WEGE3 06MAR2025 05NOV2025 48.4636</t>
  </si>
  <si>
    <t>SWAP WEGE3 07JAN2025 05NOV2025 52.6877161290323</t>
  </si>
  <si>
    <t>SWAP WEGE3 08JAN2025 05NOV2025 52.2069</t>
  </si>
  <si>
    <t>SWAP WEGE3 11JUN2024 04JUN2025 37.8123</t>
  </si>
  <si>
    <t>SWAP WEGE3 11SEP2024 04JUN2025 52.5042</t>
  </si>
  <si>
    <t>SWAP WEGE3 14JAN2025 05NOV2025 54.0243</t>
  </si>
  <si>
    <t>SWAP WEGE3 14JUN2024 04JUN2025 38.0047</t>
  </si>
  <si>
    <t>SWAP WEGE3 16JAN2025 04JUN2025 52.7385</t>
  </si>
  <si>
    <t>SWAP WEGE3 18DEC2024 04JUN2025 57.6551</t>
  </si>
  <si>
    <t>SWAP WEGE3 21AUG2024 04JUN2025 53.7221</t>
  </si>
  <si>
    <t>SWAP WEGE3 25SEP2024 04JUN2025 53.9996</t>
  </si>
  <si>
    <t>SWAP WEGE3 26DEC2024 05NOV2025 54.5527</t>
  </si>
  <si>
    <t>SWAP WEGE3 29JAN2025 05NOV2025 53.3662</t>
  </si>
  <si>
    <t>SWAP WEGE3 30JAN2025 04JUN2025 54.0686</t>
  </si>
  <si>
    <t>SWAP YDUQ3 07MAR2025 04JUN2025 10.6</t>
  </si>
  <si>
    <t>SWAP YDUQ3 07MAR2025 05NOV2025 10.6</t>
  </si>
  <si>
    <t>VALE3 21/03/25 C56.36 OTC</t>
  </si>
  <si>
    <t>VST</t>
  </si>
  <si>
    <t>ValDate</t>
  </si>
  <si>
    <t>ProductClass</t>
  </si>
  <si>
    <t>Provision NYSE USD_</t>
  </si>
  <si>
    <t>EQTY.IntlUS.on</t>
  </si>
  <si>
    <t>Synthetic Exposure Transfer Products</t>
  </si>
  <si>
    <t>Exposure Transfer USD_</t>
  </si>
  <si>
    <t>Ativo</t>
  </si>
  <si>
    <t>Diff</t>
  </si>
  <si>
    <t>P&amp;L VALUE</t>
  </si>
  <si>
    <t>4OK5C 21650</t>
  </si>
  <si>
    <t>4OK5C 21300</t>
  </si>
  <si>
    <t>SWAP GSTMTAIS 15MAY2025 15MAY2026 128.4708</t>
  </si>
  <si>
    <t>CGSPRSPX</t>
  </si>
  <si>
    <t>Oil</t>
  </si>
  <si>
    <t>BP</t>
  </si>
  <si>
    <t>SHEL</t>
  </si>
  <si>
    <t>TTE</t>
  </si>
  <si>
    <t>COF</t>
  </si>
  <si>
    <t>Risco</t>
  </si>
  <si>
    <t>Carteira</t>
  </si>
  <si>
    <t>AUM</t>
  </si>
  <si>
    <t>XHB</t>
  </si>
  <si>
    <t>TEVA</t>
  </si>
  <si>
    <t>TEVA US 07/18/25 C17</t>
  </si>
  <si>
    <t>TEVA US 07/18/25 C19</t>
  </si>
  <si>
    <t>ITB</t>
  </si>
  <si>
    <t>UBER US 07/18/25 C95</t>
  </si>
  <si>
    <t>UBER US 07/18/25 C105</t>
  </si>
  <si>
    <t>Carteira  2</t>
  </si>
  <si>
    <t>GLD</t>
  </si>
  <si>
    <t>BETA vs SPY</t>
  </si>
  <si>
    <t>Vol 10d</t>
  </si>
  <si>
    <t>VLOOKUP(B4;Precificação!$B:$O;14;FALSE)</t>
  </si>
  <si>
    <t>UBER US 07/18/25 C90</t>
  </si>
  <si>
    <t>UBER US 07/18/25 C100</t>
  </si>
  <si>
    <t>Beta Adj2</t>
  </si>
  <si>
    <t>IF(F1="Short"; "Pls sell " &amp; X1 &amp; " " &amp; ROUND(W1; 0) &amp; " shs"; IF(F1="Long"; "Pls buy " &amp; X1 &amp; " " &amp; ROUND(W1; 0) &amp; " shs"; ""))</t>
  </si>
  <si>
    <t>Daily P&amp;L</t>
  </si>
  <si>
    <t>IMBWK5C4 5880</t>
  </si>
  <si>
    <t>IMBWK5C4 5840</t>
  </si>
  <si>
    <t>TEVA US 07/18/25 C18</t>
  </si>
  <si>
    <t>TEVA US 07/18/25 C20</t>
  </si>
  <si>
    <t>MSFT US 07/18/25 P455</t>
  </si>
  <si>
    <t>Qtt Shs</t>
  </si>
  <si>
    <t>GDX US 09/19/25 C54</t>
  </si>
  <si>
    <t>GDX US 09/19/25 C59</t>
  </si>
  <si>
    <t>SMH US 07/18/25 P240</t>
  </si>
  <si>
    <t>SMH US 07/18/25 P225</t>
  </si>
  <si>
    <t>NVDA US 07/18/25 P135</t>
  </si>
  <si>
    <t>NVDA US 07/18/25 P125</t>
  </si>
  <si>
    <t>GLD US 09/19/25 C315</t>
  </si>
  <si>
    <t>GLD US 09/19/25 C335</t>
  </si>
  <si>
    <t>MA US 07/18/25 P550</t>
  </si>
  <si>
    <t>ESM5P    5950</t>
  </si>
  <si>
    <t>META US 07/18/25 P645</t>
  </si>
  <si>
    <t>META US 07/18/25 C750</t>
  </si>
  <si>
    <t>NVDA US 07/18/25 P140</t>
  </si>
  <si>
    <t>NVDA US 07/18/25 P130</t>
  </si>
  <si>
    <t>NVDA US 07/18/25 C160</t>
  </si>
  <si>
    <t>MSFT US 07/18/25 C495</t>
  </si>
  <si>
    <t>SOXX US 07/18/25 C240</t>
  </si>
  <si>
    <t>SOXX US 07/18/25 P215</t>
  </si>
  <si>
    <t>SOXX US 07/18/25 P200</t>
  </si>
  <si>
    <t>ESM5P 5950</t>
  </si>
  <si>
    <t>SWAP CGCPRSPX 06JUN2025 05NOV2025 97.2738</t>
  </si>
  <si>
    <t>XLF US 07/18/25 P50</t>
  </si>
  <si>
    <t>XLF US 07/18/25 P48</t>
  </si>
  <si>
    <t>4EM5P    5800</t>
  </si>
  <si>
    <t>4EM5C    6300</t>
  </si>
  <si>
    <t>TSM US 10/17/25 C210</t>
  </si>
  <si>
    <t>TSM US 10/17/25 C230</t>
  </si>
  <si>
    <t>4EM5P    6025</t>
  </si>
  <si>
    <t>SPY US 07/18/25 P595</t>
  </si>
  <si>
    <t>SPY US 07/18/25 P580</t>
  </si>
  <si>
    <t>SPY US 07/18/25 C625</t>
  </si>
  <si>
    <t>NVDA US 07/18/25 C155</t>
  </si>
  <si>
    <t>HOOD</t>
  </si>
  <si>
    <t>AAPL US 07/18/25 C215</t>
  </si>
  <si>
    <t>HCTA</t>
  </si>
  <si>
    <t>CPNG</t>
  </si>
  <si>
    <t>KMU5</t>
  </si>
  <si>
    <t>MSFT US 07/18/25 P465</t>
  </si>
  <si>
    <t>MSFT US 07/18/25 P445</t>
  </si>
  <si>
    <t>META US 07/18/25 P685</t>
  </si>
  <si>
    <t>META US 07/18/25 P655</t>
  </si>
  <si>
    <t>O QUE IMPORTA</t>
  </si>
  <si>
    <t>2EM5P    6000</t>
  </si>
  <si>
    <t>2EM5P    5900</t>
  </si>
  <si>
    <t>MU US 07/18/25 C135</t>
  </si>
  <si>
    <t>WDAY</t>
  </si>
  <si>
    <t>EWY</t>
  </si>
  <si>
    <t>2EM5P 5900</t>
  </si>
  <si>
    <t>2EM5P 6000</t>
  </si>
  <si>
    <t>NVDA DIVIDEND_</t>
  </si>
  <si>
    <t>SWAP KMU5 12JUN2025 11SEP2025 0.2845</t>
  </si>
  <si>
    <t>TSM DIVIDEND_</t>
  </si>
  <si>
    <t>3EM5P    6000</t>
  </si>
  <si>
    <t>000660 KS</t>
  </si>
  <si>
    <t>2330 TT</t>
  </si>
  <si>
    <t>GLD US 07/18/25 C315</t>
  </si>
  <si>
    <t>3EM5P 6000</t>
  </si>
  <si>
    <t>SWAP 00066=N5 KS 17JUN2025 10JUL2025 173.764667182441</t>
  </si>
  <si>
    <t>SWAP 2330 TT 17JUN2025 20APR2026 1.00421617588799</t>
  </si>
  <si>
    <t>SWAP 2330 TT 17JUN2025 20APR2026 1.1715745111261</t>
  </si>
  <si>
    <t>SWAP KMU5 17JUN2025 11SEP2025 0.284364300696736</t>
  </si>
  <si>
    <t>MA US 07/18/25 C580</t>
  </si>
  <si>
    <t>x</t>
  </si>
  <si>
    <t>QQQ US 07/11/25 C550</t>
  </si>
  <si>
    <t>CHINAGOV 06/20/30</t>
  </si>
  <si>
    <t>GLD US 07/18/25 C325</t>
  </si>
  <si>
    <t>ADBE</t>
  </si>
  <si>
    <t>CRM DIVIDEND_</t>
  </si>
  <si>
    <t>SWAP KMU5 18JUN2025 11SEP2025 0.295603790277753</t>
  </si>
  <si>
    <t>TTE DIVIDEND_</t>
  </si>
  <si>
    <t>QQQ US 07/18/25 P525</t>
  </si>
  <si>
    <t>QQQ US 07/18/25 P515</t>
  </si>
  <si>
    <t>Ivol</t>
  </si>
  <si>
    <t>Vol 10D</t>
  </si>
  <si>
    <t>Ivol/Vol</t>
  </si>
  <si>
    <t>V US 07/11/25 P335</t>
  </si>
  <si>
    <t>V US 07/11/25 P325</t>
  </si>
  <si>
    <t>V US 07/11/25 C350</t>
  </si>
  <si>
    <t>EWT US 09/19/25 P50</t>
  </si>
  <si>
    <t>EWT US 09/19/25 C58</t>
  </si>
  <si>
    <t>EWT US 09/19/25 P55</t>
  </si>
  <si>
    <t>QQQ US 07/03/25 P525</t>
  </si>
  <si>
    <t>QQQ US 07/03/25 P520</t>
  </si>
  <si>
    <t>EWT US 09/19/25 C58 - Sell to open</t>
  </si>
  <si>
    <t>EWT US 09/19/25 P55 -&gt; Buy to open</t>
  </si>
  <si>
    <t>EWT US 09/19/25 P50 -&gt; Sell to open</t>
  </si>
  <si>
    <t>MSFT US 08/15/25 P480</t>
  </si>
  <si>
    <t>MSFT US 08/15/25 P460</t>
  </si>
  <si>
    <t>MSFT US 08/15/25 C515</t>
  </si>
  <si>
    <t>XLF US 07/18/25 P49</t>
  </si>
  <si>
    <t>XLF US 07/18/25 P51.5</t>
  </si>
  <si>
    <t>MU US 07/18/25 C130</t>
  </si>
  <si>
    <t>MU US 07/18/25 C140</t>
  </si>
  <si>
    <t>XLF US 07/18/25 C53.5</t>
  </si>
  <si>
    <t>KKR US 07/18/25 C130</t>
  </si>
  <si>
    <t>KKR</t>
  </si>
  <si>
    <t>Column5</t>
  </si>
  <si>
    <t>HOOD US 07/18/25 C90</t>
  </si>
  <si>
    <t>HOOD US 07/18/25 C100</t>
  </si>
  <si>
    <t>PINS US 07/18/25 C36</t>
  </si>
  <si>
    <t>MSFT US 08/15/25 C520</t>
  </si>
  <si>
    <t>MSFT US 08/15/25 P490</t>
  </si>
  <si>
    <t>MSFT US 08/15/25 P470</t>
  </si>
  <si>
    <t>MA US 07/18/25 P520</t>
  </si>
  <si>
    <t>XLF US 07/11/25 P51</t>
  </si>
  <si>
    <t>XLF US 07/18/25 C53.5 - Sell to open 3750x</t>
  </si>
  <si>
    <t>NVDA US 07/18/25 P150</t>
  </si>
  <si>
    <t>NVDA US 07/18/25 C165</t>
  </si>
  <si>
    <t>SOXX US 07/18/25 P235</t>
  </si>
  <si>
    <t>SOXX US 07/18/25 P220</t>
  </si>
  <si>
    <t>SOXX US 07/18/25 C250</t>
  </si>
  <si>
    <t>QQQ US 07/18/25 C555</t>
  </si>
  <si>
    <t>QQQ US 07/18/25 P530</t>
  </si>
  <si>
    <t>QQQ US 07/18/25 P540</t>
  </si>
  <si>
    <t>MU US 07/03/25 C140</t>
  </si>
  <si>
    <t>MU US 07/03/25 C150</t>
  </si>
  <si>
    <t>EWT US 09/19/25 C60</t>
  </si>
  <si>
    <t>EWT US 09/19/25 P53</t>
  </si>
  <si>
    <t>EWT US 09/19/25 P57</t>
  </si>
  <si>
    <t>COIN US 07/18/25 C360</t>
  </si>
  <si>
    <t>COIN US 07/18/25 C400</t>
  </si>
  <si>
    <t>TSM US 07/18/25 C225</t>
  </si>
  <si>
    <t>TSM US 07/18/25 C240</t>
  </si>
  <si>
    <t>EWY US 07/18/25 C72</t>
  </si>
  <si>
    <t>QQQ US 07/03/25 P546</t>
  </si>
  <si>
    <t>COPX DIVIDEND_</t>
  </si>
  <si>
    <t>MU US 08/15/25 C125</t>
  </si>
  <si>
    <t>MU US 08/15/25 C135</t>
  </si>
  <si>
    <t>CPNG US 09/19/25 C30</t>
  </si>
  <si>
    <t>CPNG US 09/19/25 C33</t>
  </si>
  <si>
    <t>Total Return Swap Payment USD_</t>
  </si>
  <si>
    <t>GEO US 12/19/25 C26</t>
  </si>
  <si>
    <t>CXW US 12/19/25 C22</t>
  </si>
  <si>
    <t>CXW US 12/19/25 C25</t>
  </si>
  <si>
    <t>GEO US 12/19/25 C29</t>
  </si>
  <si>
    <t>Cotações EoD</t>
  </si>
  <si>
    <t>GSXUNPTC</t>
  </si>
  <si>
    <t>SWAP GSXUNPTC 28JUL2025 28JUL2026 182.501</t>
  </si>
  <si>
    <t>BTG Day after</t>
  </si>
  <si>
    <t>Financeiro</t>
  </si>
  <si>
    <t>Bps</t>
  </si>
  <si>
    <t>XLI</t>
  </si>
  <si>
    <t>CRWV</t>
  </si>
  <si>
    <t>SWAP GSXUNPTC 31JUL2025 31JUL2026 173.6652</t>
  </si>
  <si>
    <t xml:space="preserve">MSXXQE7 </t>
  </si>
  <si>
    <t>GSXUDEFS</t>
  </si>
  <si>
    <t>GSXUCYCL</t>
  </si>
  <si>
    <t>402340 KS</t>
  </si>
  <si>
    <t>SWAP 402340 KS 04AUG2025 20APR2026 110.1082</t>
  </si>
  <si>
    <t>SWAP GSXUCYCL 05AUG2025 05AUG2026 130.0642</t>
  </si>
  <si>
    <t>SWAP GSXUDEFS 05AUG2025 05AUG2026 103.5302</t>
  </si>
  <si>
    <t>RTYA</t>
  </si>
  <si>
    <t>HCTQ5</t>
  </si>
  <si>
    <t>RTYU5</t>
  </si>
  <si>
    <t>SWAP 00066=U5 KS 06AUG2025 15SEP2025 184.506452894925</t>
  </si>
  <si>
    <t>SWAP 00066=U5 KS 06AUG2025 15SEP2025 186.230164403145</t>
  </si>
  <si>
    <t>SWAP GSXUCYCL 06AUG2025 06AUG2026 131.6125</t>
  </si>
  <si>
    <t>SWAP GSXUDEFS 06AUG2025 06AUG2026 107.4908</t>
  </si>
  <si>
    <t>SWAP MSXXQE7 04AUG2025 03JUN2026 104.2289</t>
  </si>
  <si>
    <t>SWAP GSXUCYCL 07AUG2025 07AUG2026 130.7612</t>
  </si>
  <si>
    <t>SWAP GSXUDEFS 05AUG2025 05AUG2026 106.5302</t>
  </si>
  <si>
    <t>SWAP GSXUDEFS 07AUG2025 07AUG2026 107.5129</t>
  </si>
  <si>
    <t>SWAP GSXUCYCL 11AUG2025 11AUG2026 130.5074</t>
  </si>
  <si>
    <t>SWAP GSXUDEFS 11AUG2025 11AUG2026 107.7306</t>
  </si>
  <si>
    <t>Trading Basis</t>
  </si>
  <si>
    <t>Sector</t>
  </si>
  <si>
    <t>Diretoria</t>
  </si>
  <si>
    <t>MSFT US 08/29/25 P530 - Sell to close 225x</t>
  </si>
  <si>
    <t>MSFT US 08/29/25 P525 -&gt; Sell to close 75x</t>
  </si>
  <si>
    <t>MSFT US 08/29/25 P520 -&gt; Buy to open 550x</t>
  </si>
  <si>
    <t>Software</t>
  </si>
  <si>
    <t>Internet</t>
  </si>
  <si>
    <t>Semis</t>
  </si>
  <si>
    <t>4EU5P    6450</t>
  </si>
  <si>
    <t>4EU5P    6250</t>
  </si>
  <si>
    <t>4EU5P 6250</t>
  </si>
  <si>
    <t>4EU5P 6450</t>
  </si>
  <si>
    <t>HCTU5</t>
  </si>
  <si>
    <t>ESu5</t>
  </si>
  <si>
    <t>ORCL</t>
  </si>
  <si>
    <t>Core</t>
  </si>
  <si>
    <t>Tactical</t>
  </si>
  <si>
    <t>Current</t>
  </si>
  <si>
    <t>FM</t>
  </si>
  <si>
    <t>BT</t>
  </si>
  <si>
    <t>SW/oAI</t>
  </si>
  <si>
    <t>Semis/oAI</t>
  </si>
  <si>
    <t>Metal</t>
  </si>
  <si>
    <t>GSC1000P 03/20/26 C104</t>
  </si>
  <si>
    <t>GSC1000P 03/20/26 C119</t>
  </si>
  <si>
    <t>RTYWU5C3 2425</t>
  </si>
  <si>
    <t>RTYWU5C3 2500</t>
  </si>
  <si>
    <t>SW</t>
  </si>
  <si>
    <t>BX</t>
  </si>
  <si>
    <t>AO1/'Master P&amp;L'!$AD$6*10000</t>
  </si>
  <si>
    <t>xxx</t>
  </si>
  <si>
    <t>CRWV/NBIS</t>
  </si>
  <si>
    <t>Inc / (Dec)</t>
  </si>
  <si>
    <t>CHINAGOV 12/20/30</t>
  </si>
  <si>
    <t>China</t>
  </si>
  <si>
    <t>NQA</t>
  </si>
  <si>
    <t>NQZ5</t>
  </si>
  <si>
    <t>FCX</t>
  </si>
  <si>
    <t>SHOP</t>
  </si>
  <si>
    <t>Tech Longs</t>
  </si>
  <si>
    <t>Cod. Capstone</t>
  </si>
  <si>
    <t>Equity Option</t>
  </si>
  <si>
    <t>Underlying Stock</t>
  </si>
  <si>
    <t>Maturity</t>
  </si>
  <si>
    <t>P/C</t>
  </si>
  <si>
    <t>Spot</t>
  </si>
  <si>
    <t>Fut</t>
  </si>
  <si>
    <t>Intrinsic Value</t>
  </si>
  <si>
    <t>PX_BID</t>
  </si>
  <si>
    <t>PX_ASK</t>
  </si>
  <si>
    <t>PX_MID</t>
  </si>
  <si>
    <t>Price - BTG</t>
  </si>
  <si>
    <t>criterio_marcacao</t>
  </si>
  <si>
    <t>Put</t>
  </si>
  <si>
    <t>-</t>
  </si>
  <si>
    <t>calculadora_bgg</t>
  </si>
  <si>
    <t>GSC1000P 03/20/26 C104 Equity</t>
  </si>
  <si>
    <t>GSC1000P Equity</t>
  </si>
  <si>
    <t>Call</t>
  </si>
  <si>
    <t>CNY</t>
  </si>
  <si>
    <t>calculadora_BVAL</t>
  </si>
  <si>
    <t>GSC1000P 03/20/26 C119 Equity</t>
  </si>
  <si>
    <t>mid_negociacao</t>
  </si>
  <si>
    <t>EWZ US Equity</t>
  </si>
  <si>
    <t>MSFT US Equity</t>
  </si>
  <si>
    <t>TSM US Equity</t>
  </si>
  <si>
    <t>MSCS500X 09/15/26 C7487.249</t>
  </si>
  <si>
    <t>MSCS500X 09/15/26 C7487.249 Equity</t>
  </si>
  <si>
    <t>MSCS500X Equity</t>
  </si>
  <si>
    <t>MSCS500X 09/15/26 C8200.3203</t>
  </si>
  <si>
    <t>MSCS500X 09/15/26 C8200.3203 Equity</t>
  </si>
  <si>
    <t>ABEV US 04/17/26 C2.55</t>
  </si>
  <si>
    <t>ABEV US 04/17/26 C2.55 Equity</t>
  </si>
  <si>
    <t>ABEV US Equity</t>
  </si>
  <si>
    <t>ABEV US 04/17/26 P1.95</t>
  </si>
  <si>
    <t>ABEV US 04/17/26 P1.95 Equity</t>
  </si>
  <si>
    <t>ABEV US 04/17/26 P2.25</t>
  </si>
  <si>
    <t>ABEV US 04/17/26 P2.25 Equity</t>
  </si>
  <si>
    <t>QQQ US Equity</t>
  </si>
  <si>
    <t>SMFT3 Equity</t>
  </si>
  <si>
    <t>calculadora_proprietaria</t>
  </si>
  <si>
    <t>ABEV3 Equity</t>
  </si>
  <si>
    <t>1Q</t>
  </si>
  <si>
    <t>2Q</t>
  </si>
  <si>
    <t>3Q</t>
  </si>
  <si>
    <t>4Q</t>
  </si>
  <si>
    <t>1M Imp</t>
  </si>
  <si>
    <t>Vol 30 Realized</t>
  </si>
  <si>
    <t>1M Implied</t>
  </si>
  <si>
    <t>% Move</t>
  </si>
  <si>
    <t>% Realized</t>
  </si>
  <si>
    <t>1W Implied</t>
  </si>
  <si>
    <t>AMZN US 10/31/25 C220</t>
  </si>
  <si>
    <t xml:space="preserve">Call ATM </t>
  </si>
  <si>
    <t>Day</t>
  </si>
  <si>
    <t>Avg decline</t>
  </si>
  <si>
    <t>Ratio</t>
  </si>
  <si>
    <t>GOOGL US 10/31/25 C275 Equity</t>
  </si>
  <si>
    <t>Vol T0</t>
  </si>
  <si>
    <t>Vol T+1</t>
  </si>
  <si>
    <t>META US 10/31/25 C750 Equity</t>
  </si>
  <si>
    <t>MSFT US 10/31/25 C542.5 Equity</t>
  </si>
  <si>
    <t>AAPL US 10/31/25 C270 Equity</t>
  </si>
  <si>
    <t>n/a</t>
  </si>
  <si>
    <t>(A)</t>
  </si>
  <si>
    <t>(B)</t>
  </si>
  <si>
    <t>(A)/(B)</t>
  </si>
  <si>
    <t>ratio</t>
  </si>
  <si>
    <t>desvpad anualizado do dia do earnings</t>
  </si>
  <si>
    <t>desvpad do dia do earnings</t>
  </si>
  <si>
    <t>variancia do dia do earnings</t>
  </si>
  <si>
    <t>varianca no periodo de 21 dias</t>
  </si>
  <si>
    <t>desv pad de 21 dias, depois do earnings</t>
  </si>
  <si>
    <t>desvpad diário, depois do earnings</t>
  </si>
  <si>
    <t>cov ewz, eem</t>
  </si>
  <si>
    <t>desvpad 1 mes a frente, anualizado, depois do earnings</t>
  </si>
  <si>
    <t>correl ewz, eem</t>
  </si>
  <si>
    <t>variancia 22 dias a frente, antes do earnings</t>
  </si>
  <si>
    <t>desvpad ewz/eem justo</t>
  </si>
  <si>
    <t>desvpad 22 dias a frente, antes do earnings</t>
  </si>
  <si>
    <t>desvpad eem</t>
  </si>
  <si>
    <t>desvpad 1 mes a frente, anualizado, 1 dia antes do earnings</t>
  </si>
  <si>
    <t>desvpad ewz</t>
  </si>
  <si>
    <t>meta ultmoi</t>
  </si>
  <si>
    <t>metal penultino</t>
  </si>
  <si>
    <t>meta antepenultino</t>
  </si>
  <si>
    <t>amazon ultimo</t>
  </si>
  <si>
    <t>googl ultimo</t>
  </si>
  <si>
    <t>var</t>
  </si>
  <si>
    <t>desvpad</t>
  </si>
  <si>
    <t>cov itub,xp</t>
  </si>
  <si>
    <t>correl itub xp</t>
  </si>
  <si>
    <t>desvpad itub+xp justo</t>
  </si>
  <si>
    <t>b</t>
  </si>
  <si>
    <t>desvpad xp</t>
  </si>
  <si>
    <t>a</t>
  </si>
  <si>
    <t>desvpad itub</t>
  </si>
  <si>
    <t>var (xa+yb) = x^2 * var(a) + y^2 * var(b) + 2xy*cov(a,b)</t>
  </si>
  <si>
    <t>desvpad brl</t>
  </si>
  <si>
    <t>desvpad ibov</t>
  </si>
  <si>
    <t>correl(a,b)=cov(a,b)/(desvpad(a)*desvpad(b))</t>
  </si>
  <si>
    <t>var (a+b) = var(a) + var(b) + 2*cov(a,b)</t>
  </si>
  <si>
    <t>IBOVE Equity</t>
  </si>
  <si>
    <t>TSM US 06/18/26 C370</t>
  </si>
  <si>
    <t>TSM US 06/18/26 C300</t>
  </si>
  <si>
    <t>TSM US 06/18/26 P210</t>
  </si>
  <si>
    <t>TSM US 06/18/26 P250</t>
  </si>
  <si>
    <t>MSFT US 06/18/26 C585</t>
  </si>
  <si>
    <t>MSFT US 06/18/26 C515</t>
  </si>
  <si>
    <t>MSFT US 06/18/26 P425</t>
  </si>
  <si>
    <t>TSM US 06/18/26 C300 Equity</t>
  </si>
  <si>
    <t>TSM US 06/18/26 C370 Equity</t>
  </si>
  <si>
    <t>TSM US 06/18/26 P250 Equity</t>
  </si>
  <si>
    <t>TSM US 06/18/26 P210 Equity</t>
  </si>
  <si>
    <t>MSFT US 06/18/26 P425 Equity</t>
  </si>
  <si>
    <t>MSFT US 06/18/26 C515 Equity</t>
  </si>
  <si>
    <t>MSFT US 06/18/26 C585 Equity</t>
  </si>
  <si>
    <t>QQQ US 03/20/26 P580</t>
  </si>
  <si>
    <t>QQQ US 03/20/26 P550</t>
  </si>
  <si>
    <t>QQQ US 03/20/26 P550 Equity</t>
  </si>
  <si>
    <t>AMZN US Equity</t>
  </si>
  <si>
    <t>QQQ US 03/20/26 P580 Equity</t>
  </si>
  <si>
    <t>AMZN US 06/18/26 C230</t>
  </si>
  <si>
    <t>AMZN US 06/18/26 C260</t>
  </si>
  <si>
    <t>AMZN US 06/18/26 P200</t>
  </si>
  <si>
    <t>AMZN US 06/18/26 C230 Equity</t>
  </si>
  <si>
    <t>AMZN US 06/18/26 C260 Equity</t>
  </si>
  <si>
    <t>AMZN US 06/18/26 P200 Equity</t>
  </si>
  <si>
    <t>SMFT3 20/02/26 C27.57 OTC</t>
  </si>
  <si>
    <t>SMFT3 20/02/26 P21.57 OTC</t>
  </si>
  <si>
    <t>SMFT3 20/02/26 P24.07 OTC</t>
  </si>
  <si>
    <t>SMFT3 20/02/26 C28.32 OTC</t>
  </si>
  <si>
    <t>SMFT3 20/02/26 P23.82 OTC</t>
  </si>
  <si>
    <t>SMFT3 20/02/26 P26.32 OTC</t>
  </si>
  <si>
    <t>MSFT US 03/20/26 C515</t>
  </si>
  <si>
    <t>MSFT US 03/20/26 C490</t>
  </si>
  <si>
    <t>MSFT US 03/20/26 P465</t>
  </si>
  <si>
    <t>MSFT US 03/20/26 P455</t>
  </si>
  <si>
    <t>MSFT US 03/20/26 C490 Equity</t>
  </si>
  <si>
    <t>MSFT US 03/20/26 C515 Equity</t>
  </si>
  <si>
    <t>MSFT US 03/20/26 P455 Equity</t>
  </si>
  <si>
    <t>MSFT US 03/20/26 P465 Equity</t>
  </si>
  <si>
    <t>ENEV3 20/02/26 P19.00 OTC</t>
  </si>
  <si>
    <t>ENEV3 Equity</t>
  </si>
  <si>
    <t>ENEV3 20/02/26 P20.50 OTC</t>
  </si>
  <si>
    <t>MRVL US 03/20/26 P80</t>
  </si>
  <si>
    <t>MRVL US 03/20/26 P90</t>
  </si>
  <si>
    <t>MRVL US 03/20/26 P80 Equity</t>
  </si>
  <si>
    <t>MRVL US Equity</t>
  </si>
  <si>
    <t>MRVL US 03/20/26 P90 Equity</t>
  </si>
  <si>
    <t>LITE</t>
  </si>
  <si>
    <t>Networking</t>
  </si>
  <si>
    <t>EWZ US 01/16/26 P34</t>
  </si>
  <si>
    <t>EWZ US 01/16/26 P34 Equity</t>
  </si>
  <si>
    <t>META US 04/17/26 C750</t>
  </si>
  <si>
    <t>META US 04/17/26 C690</t>
  </si>
  <si>
    <t>META US 04/17/26 P590</t>
  </si>
  <si>
    <t>META US 04/17/26 C690 Equity</t>
  </si>
  <si>
    <t>META US Equity</t>
  </si>
  <si>
    <t>META US 04/17/26 C750 Equity</t>
  </si>
  <si>
    <t>META US 04/17/26 P590 Equity</t>
  </si>
  <si>
    <t>LITE US 02/20/26 C400</t>
  </si>
  <si>
    <t>LITE US 02/20/26 C450</t>
  </si>
  <si>
    <t>ABEV3 20/02/26 P12.11 OTC</t>
  </si>
  <si>
    <t>ABEV3 20/02/26 P13.36 OTC</t>
  </si>
  <si>
    <t>COHR US 03/20/26 C210</t>
  </si>
  <si>
    <t>COHR US 03/20/26 C250</t>
  </si>
  <si>
    <t>LITE US 02/20/26 C450 Equity</t>
  </si>
  <si>
    <t>LITE US Equity</t>
  </si>
  <si>
    <t>LITE US 02/20/26 C400 Equity</t>
  </si>
  <si>
    <t>COHR US 03/20/26 C210 Equity</t>
  </si>
  <si>
    <t>COHR US Equity</t>
  </si>
  <si>
    <t>COHR US 03/20/26 C250 Equity</t>
  </si>
  <si>
    <t>AXIA3 Equity</t>
  </si>
  <si>
    <t>NFLX US 03/20/26 P92</t>
  </si>
  <si>
    <t>NFLX US 03/20/26 C104</t>
  </si>
  <si>
    <t>NFLX US 03/20/26 P83</t>
  </si>
  <si>
    <t>NFLX US 03/20/26 C104 Equity</t>
  </si>
  <si>
    <t>NFLX US Equity</t>
  </si>
  <si>
    <t>NFLX US 03/20/26 P83 Equity</t>
  </si>
  <si>
    <t>NFLX US 03/20/26 P92 Equity</t>
  </si>
  <si>
    <t>MRVL US 03/20/26 P85</t>
  </si>
  <si>
    <t>MRVL US 03/20/26 P75</t>
  </si>
  <si>
    <t>TSM US 03/20/26 C300</t>
  </si>
  <si>
    <t>TSM US 03/20/26 C330</t>
  </si>
  <si>
    <t>MRVL US 03/20/26 P75 Equity</t>
  </si>
  <si>
    <t>MRVL US 03/20/26 P85 Equity</t>
  </si>
  <si>
    <t>SMAL11 Equity</t>
  </si>
  <si>
    <t>AVGO US 06/18/26 P300</t>
  </si>
  <si>
    <t>AVGO US 06/18/26 C350</t>
  </si>
  <si>
    <t>AVGO US 06/18/26 P270</t>
  </si>
  <si>
    <t>AVGO US 06/18/26 C410</t>
  </si>
  <si>
    <t>META US 04/17/26 P600</t>
  </si>
  <si>
    <t>META US 04/17/26 P570</t>
  </si>
  <si>
    <t>KRW</t>
  </si>
  <si>
    <t>AVGO US 06/18/26 C350 Equity</t>
  </si>
  <si>
    <t>AVGO US Equity</t>
  </si>
  <si>
    <t>AVGO US 06/18/26 C410 Equity</t>
  </si>
  <si>
    <t>AVGO US 06/18/26 P270 Equity</t>
  </si>
  <si>
    <t>AVGO US 06/18/26 P300 Equity</t>
  </si>
  <si>
    <t>META US 04/17/26 P600 Equity</t>
  </si>
  <si>
    <t>TSM US 03/20/26 C330 Equity</t>
  </si>
  <si>
    <t>TSM US 03/20/26 C300 Equity</t>
  </si>
  <si>
    <t>META US 04/17/26 P570 Equity</t>
  </si>
  <si>
    <t>BPAC11 20/02/26 C57.32 OTC</t>
  </si>
  <si>
    <t>BPAC11 Equity</t>
  </si>
  <si>
    <t>BPAC11 20/02/26 P47.82 OTC</t>
  </si>
  <si>
    <t>BPAC11 20/02/26 P51.82 OTC</t>
  </si>
  <si>
    <t>% of Theta bps</t>
  </si>
  <si>
    <t>Theta anlzd</t>
  </si>
  <si>
    <t>Cash CNY</t>
  </si>
  <si>
    <t>SPY DIVIDEND_</t>
  </si>
  <si>
    <t>SPXW US 12/31/25 C6950</t>
  </si>
  <si>
    <t>AXIA3 20/02/26 P43.00 OTC</t>
  </si>
  <si>
    <t>AXIA3 20/02/26 P48.00 OTC</t>
  </si>
  <si>
    <t>RIOT</t>
  </si>
  <si>
    <t xml:space="preserve">Power </t>
  </si>
  <si>
    <t>Equity Total Return Swap</t>
  </si>
  <si>
    <t>SWAP 000660 KP 26DEC2025 28DEC2026 386.679</t>
  </si>
  <si>
    <t>SUZB3 20/02/26 P50.38 OTC</t>
  </si>
  <si>
    <t>SUZB3 Equity</t>
  </si>
  <si>
    <t>Memory</t>
  </si>
  <si>
    <t>Metals</t>
  </si>
  <si>
    <t xml:space="preserve">GDX </t>
  </si>
  <si>
    <t>PETR4 Equity</t>
  </si>
  <si>
    <t>BIDU</t>
  </si>
  <si>
    <t>ABEV3 20/02/26 P11.42 OTC</t>
  </si>
  <si>
    <t>ABEV3 20/02/26 P12.67 OTC</t>
  </si>
  <si>
    <t>ABEV3 20/02/26 P13.67 OTC</t>
  </si>
  <si>
    <t>LREN3 20/02/26 P12.04 OTC</t>
  </si>
  <si>
    <t>LREN3 Equity</t>
  </si>
  <si>
    <t>LREN3 20/02/26 P13.04 OTC</t>
  </si>
  <si>
    <t>GOOG</t>
  </si>
  <si>
    <t>104</t>
  </si>
  <si>
    <t>119</t>
  </si>
  <si>
    <t>7487.249</t>
  </si>
  <si>
    <t>8200.3203</t>
  </si>
  <si>
    <t>2.55</t>
  </si>
  <si>
    <t>1.95</t>
  </si>
  <si>
    <t>2.25</t>
  </si>
  <si>
    <t>300</t>
  </si>
  <si>
    <t>370</t>
  </si>
  <si>
    <t>250</t>
  </si>
  <si>
    <t>210</t>
  </si>
  <si>
    <t>425</t>
  </si>
  <si>
    <t>515</t>
  </si>
  <si>
    <t>585</t>
  </si>
  <si>
    <t>550</t>
  </si>
  <si>
    <t>580</t>
  </si>
  <si>
    <t>230</t>
  </si>
  <si>
    <t>260</t>
  </si>
  <si>
    <t>200</t>
  </si>
  <si>
    <t>330</t>
  </si>
  <si>
    <t>490</t>
  </si>
  <si>
    <t>455</t>
  </si>
  <si>
    <t>465</t>
  </si>
  <si>
    <t>80</t>
  </si>
  <si>
    <t>90</t>
  </si>
  <si>
    <t>34</t>
  </si>
  <si>
    <t>690</t>
  </si>
  <si>
    <t>750</t>
  </si>
  <si>
    <t>590</t>
  </si>
  <si>
    <t>450</t>
  </si>
  <si>
    <t>400</t>
  </si>
  <si>
    <t>83</t>
  </si>
  <si>
    <t>92</t>
  </si>
  <si>
    <t>75</t>
  </si>
  <si>
    <t>85</t>
  </si>
  <si>
    <t>350</t>
  </si>
  <si>
    <t>410</t>
  </si>
  <si>
    <t>270</t>
  </si>
  <si>
    <t>600</t>
  </si>
  <si>
    <t>570</t>
  </si>
  <si>
    <t>27.57</t>
  </si>
  <si>
    <t>21.57</t>
  </si>
  <si>
    <t>24.07</t>
  </si>
  <si>
    <t>28.32</t>
  </si>
  <si>
    <t>23.82</t>
  </si>
  <si>
    <t>26.32</t>
  </si>
  <si>
    <t>19.00</t>
  </si>
  <si>
    <t>20.50</t>
  </si>
  <si>
    <t>12.11</t>
  </si>
  <si>
    <t>13.36</t>
  </si>
  <si>
    <t>57.32</t>
  </si>
  <si>
    <t>47.82</t>
  </si>
  <si>
    <t>51.82</t>
  </si>
  <si>
    <t>43.00</t>
  </si>
  <si>
    <t>48.00</t>
  </si>
  <si>
    <t>50.38</t>
  </si>
  <si>
    <t>11.42</t>
  </si>
  <si>
    <t>12.67</t>
  </si>
  <si>
    <t>13.67</t>
  </si>
  <si>
    <t>12.04</t>
  </si>
  <si>
    <t>13.04</t>
  </si>
  <si>
    <t>AXIA3 20/02/26 C54.50 OTC</t>
  </si>
  <si>
    <t>54.50</t>
  </si>
  <si>
    <t>AXIA3 20/02/26 P47.00 OTC</t>
  </si>
  <si>
    <t>47.00</t>
  </si>
  <si>
    <t>AXIA3 20/02/26 P50.50 OTC</t>
  </si>
  <si>
    <t>50.50</t>
  </si>
  <si>
    <t>SMFT3 20/03/26 C25.31 OTC</t>
  </si>
  <si>
    <t>25.31</t>
  </si>
  <si>
    <t>SMFT3 20/03/26 P21.31 OTC</t>
  </si>
  <si>
    <t>21.31</t>
  </si>
  <si>
    <t>SMFT3 20/03/26 P23.31 OTC</t>
  </si>
  <si>
    <t>23.31</t>
  </si>
  <si>
    <t>VALE3 20/02/26 C75.90 OTC</t>
  </si>
  <si>
    <t>VALE3 Equity</t>
  </si>
  <si>
    <t>75.90</t>
  </si>
  <si>
    <t>VALE3 20/02/26 C80.90 OTC</t>
  </si>
  <si>
    <t>80.90</t>
  </si>
  <si>
    <t>ASHR US 02/20/26 C35</t>
  </si>
  <si>
    <t>TSM US 06/18/26 C340</t>
  </si>
  <si>
    <t>TSM US 06/18/26 C380</t>
  </si>
  <si>
    <t>TSM US 07/17/26 C340</t>
  </si>
  <si>
    <t>TSM US 07/17/26 C380</t>
  </si>
  <si>
    <t>TSM US 06/18/26 C340 Equity</t>
  </si>
  <si>
    <t>340</t>
  </si>
  <si>
    <t>TSM US 06/18/26 C380 Equity</t>
  </si>
  <si>
    <t>380</t>
  </si>
  <si>
    <t>ASHR US 02/20/26 C35 Equity</t>
  </si>
  <si>
    <t>ASHR US Equity</t>
  </si>
  <si>
    <t>35</t>
  </si>
  <si>
    <t>ABEV3 20/02/26 C14.92 OTC</t>
  </si>
  <si>
    <t>14.92</t>
  </si>
  <si>
    <t>IBOVE 18/02/26 P161000 OTC</t>
  </si>
  <si>
    <t>161000</t>
  </si>
  <si>
    <t>SMAL11 20/02/26 P108 OTC</t>
  </si>
  <si>
    <t>108</t>
  </si>
  <si>
    <t>SMAL11 20/02/26 P113 OTC</t>
  </si>
  <si>
    <t>113</t>
  </si>
  <si>
    <t>AMAT US 01/23/26 P280</t>
  </si>
  <si>
    <t>AMAT US 01/23/26 P290</t>
  </si>
  <si>
    <t>Internet/SW</t>
  </si>
  <si>
    <t>Pairs</t>
  </si>
  <si>
    <t>QQQ US 01/15/26 P623</t>
  </si>
  <si>
    <t>QQQ US 01/15/26 P622</t>
  </si>
  <si>
    <t>SMAL11 20/02/26 P114 OTC</t>
  </si>
  <si>
    <t>114</t>
  </si>
  <si>
    <t>VIVA3 20/02/26 C30.14 OTC</t>
  </si>
  <si>
    <t>VIVA3 Equity</t>
  </si>
  <si>
    <t>30.14</t>
  </si>
  <si>
    <t>VIVA3 20/02/26 P25.89 OTC</t>
  </si>
  <si>
    <t>25.89</t>
  </si>
  <si>
    <t>VIVA3 20/02/26 P28.14 OTC</t>
  </si>
  <si>
    <t>28.14</t>
  </si>
  <si>
    <t>GDX US 09/18/26 C105</t>
  </si>
  <si>
    <t>GDX US 09/18/26 C115</t>
  </si>
  <si>
    <t>KHC</t>
  </si>
  <si>
    <t>GDX US 09/18/26 C115 Equity</t>
  </si>
  <si>
    <t>GDX US Equity</t>
  </si>
  <si>
    <t>115</t>
  </si>
  <si>
    <t>GDX US 09/18/26 C105 Equity</t>
  </si>
  <si>
    <t>105</t>
  </si>
  <si>
    <t>IBOVE 18/02/26 P163000 OTC</t>
  </si>
  <si>
    <t>000660 KP</t>
  </si>
  <si>
    <t>SNDK US 02/20/26 C500</t>
  </si>
  <si>
    <t>MRVL US 03/20/26 P70</t>
  </si>
  <si>
    <t>Net ex Metals</t>
  </si>
  <si>
    <t>Net total</t>
  </si>
  <si>
    <t>SNDK US 02/20/26 C500 Equity</t>
  </si>
  <si>
    <t>SNDK US Equity</t>
  </si>
  <si>
    <t>500</t>
  </si>
  <si>
    <t>EWZ US 02/20/26 C35</t>
  </si>
  <si>
    <t>EWZ US 02/20/26 C35 Equity</t>
  </si>
  <si>
    <t>MRVL US 03/20/26 P70 Equity</t>
  </si>
  <si>
    <t>70</t>
  </si>
  <si>
    <t>163000</t>
  </si>
  <si>
    <t>SNDK US 02/20/26 C550</t>
  </si>
  <si>
    <t>LITE US 03/20/26 C420</t>
  </si>
  <si>
    <t>AMZN US 07/17/26 C250</t>
  </si>
  <si>
    <t>AMZN US 07/17/26 C245</t>
  </si>
  <si>
    <t>META US 07/17/26 C670</t>
  </si>
  <si>
    <t>MSFT US 07/17/26 C470</t>
  </si>
  <si>
    <t>MSFT US 07/17/26 C465</t>
  </si>
  <si>
    <t>GOOG US 07/17/26 C350</t>
  </si>
  <si>
    <t>NVDA US 07/17/26 C195</t>
  </si>
  <si>
    <t>META US 07/17/26 C680</t>
  </si>
  <si>
    <t>QQQ US 02/06/26 C630</t>
  </si>
  <si>
    <t>META US 02/27/26 C660</t>
  </si>
  <si>
    <t>SNDK US 02/20/26 C550 Equity</t>
  </si>
  <si>
    <t>META US 07/17/26 C670 Equity</t>
  </si>
  <si>
    <t>670</t>
  </si>
  <si>
    <t>AMZN US 07/17/26 C245 Equity</t>
  </si>
  <si>
    <t>245</t>
  </si>
  <si>
    <t>KOSPI2 12/10/26 C1000</t>
  </si>
  <si>
    <t>KOSPI2 12/10/26 C1000 Equity</t>
  </si>
  <si>
    <t>KOSPI2 Equity</t>
  </si>
  <si>
    <t>1000</t>
  </si>
  <si>
    <t>LITE US 03/20/26 C420 Equity</t>
  </si>
  <si>
    <t>420</t>
  </si>
  <si>
    <t>MSFT US 07/17/26 C465 Equity</t>
  </si>
  <si>
    <t>QQQ US 02/06/26 C630 Equity</t>
  </si>
  <si>
    <t>630</t>
  </si>
  <si>
    <t>PETR4 20/02/26 P34.15 OTC</t>
  </si>
  <si>
    <t>34.15</t>
  </si>
  <si>
    <t>PRIO3 20/02/26 P43.25 OTC</t>
  </si>
  <si>
    <t>PRIO3 Equity</t>
  </si>
  <si>
    <t>43.25</t>
  </si>
  <si>
    <t>PRIO3 20/02/26 P46.25 OTC</t>
  </si>
  <si>
    <t>46.25</t>
  </si>
  <si>
    <t>PRIO3 20/03/26 C50.50 OTC</t>
  </si>
  <si>
    <t>PRIO3 20/03/26 P42.50 OTC</t>
  </si>
  <si>
    <t>42.50</t>
  </si>
  <si>
    <t>PRIO3 20/03/26 P46.50 OTC</t>
  </si>
  <si>
    <t>46.50</t>
  </si>
  <si>
    <t>Chg</t>
  </si>
  <si>
    <t>bps</t>
  </si>
  <si>
    <t>KOSPI 200 Index Options - KRX</t>
  </si>
  <si>
    <t>SWAP 000660 KS 26JAN2026 26JAN2027 509.6192</t>
  </si>
  <si>
    <t>INTC US 07/17/26 P40</t>
  </si>
  <si>
    <t>INTC US 07/17/26 C50</t>
  </si>
  <si>
    <t>INTC US 07/17/26 C60</t>
  </si>
  <si>
    <t>MSFT US 07/17/26 C475</t>
  </si>
  <si>
    <t>EWZ US 02/20/26 C37</t>
  </si>
  <si>
    <t>EWZ US 02/20/26 C37 Equity</t>
  </si>
  <si>
    <t>37</t>
  </si>
  <si>
    <t>INTC US 07/17/26 C50 Equity</t>
  </si>
  <si>
    <t>INTC US Equity</t>
  </si>
  <si>
    <t>50</t>
  </si>
  <si>
    <t>INTC US 07/17/26 C60 Equity</t>
  </si>
  <si>
    <t>60</t>
  </si>
  <si>
    <t>INTC US 07/17/26 P40 Equity</t>
  </si>
  <si>
    <t>40</t>
  </si>
  <si>
    <t>MSFT US 07/17/26 C475 Equity</t>
  </si>
  <si>
    <t>475</t>
  </si>
  <si>
    <t>ITUB4 20/02/26 P40.94 OTC</t>
  </si>
  <si>
    <t>ITUB4 Equity</t>
  </si>
  <si>
    <t>40.94</t>
  </si>
  <si>
    <t>ITUB4 20/02/26 P42.88 OTC</t>
  </si>
  <si>
    <t>42.88</t>
  </si>
  <si>
    <t>CSCO</t>
  </si>
  <si>
    <t>YEST</t>
  </si>
  <si>
    <t>TODAY</t>
  </si>
  <si>
    <t>SMAL11 20/02/26 P120 OTC</t>
  </si>
  <si>
    <t>120</t>
  </si>
  <si>
    <t>VALE3 20/02/26 P77.90 OTC</t>
  </si>
  <si>
    <t>77.90</t>
  </si>
  <si>
    <t>VALE3 20/02/26 P82.90 OTC</t>
  </si>
  <si>
    <t>82.90</t>
  </si>
  <si>
    <t>AKAM</t>
  </si>
  <si>
    <t>MSFT US 07/17/26 C500</t>
  </si>
  <si>
    <t>Max Loss bps</t>
  </si>
  <si>
    <t>META 4 ⅞ 11/15/35 Corp</t>
  </si>
  <si>
    <t>Spread</t>
  </si>
  <si>
    <t>Bond</t>
  </si>
  <si>
    <t>Treasury</t>
  </si>
  <si>
    <t>Yield</t>
  </si>
  <si>
    <t>YAS</t>
  </si>
  <si>
    <t>META 4 ¾ 08/15/2034 Corp</t>
  </si>
  <si>
    <t>BB Bid Sprd to Bnch</t>
  </si>
  <si>
    <t>Loss</t>
  </si>
  <si>
    <t>Gain</t>
  </si>
  <si>
    <t>Annual Carry</t>
  </si>
  <si>
    <t>300502 CH</t>
  </si>
  <si>
    <t>MSFT US 07/17/26 C500 Equity</t>
  </si>
  <si>
    <t>EEM US 04/17/26 C61</t>
  </si>
  <si>
    <t>EEM US 04/17/26 C61 Equity</t>
  </si>
  <si>
    <t>EEM US Equity</t>
  </si>
  <si>
    <t>61</t>
  </si>
  <si>
    <t>EEM US 04/17/26 C65</t>
  </si>
  <si>
    <t>EEM US 04/17/26 C65 Equity</t>
  </si>
  <si>
    <t>65</t>
  </si>
  <si>
    <t>EEM US 02/20/26 C61</t>
  </si>
  <si>
    <t>EEM US 02/20/26 C61 Equity</t>
  </si>
  <si>
    <t>ABEV3 20/02/26 P14.67 OTC</t>
  </si>
  <si>
    <t>14.67</t>
  </si>
  <si>
    <t>GGBR4 20/03/26 P21.31 OTC</t>
  </si>
  <si>
    <t>GGBR4 Equity</t>
  </si>
  <si>
    <t>GGBR4 20/03/26 P22.81 OTC</t>
  </si>
  <si>
    <t>22.81</t>
  </si>
  <si>
    <t>NVDA US 05/15/26 C200</t>
  </si>
  <si>
    <t>NVDA US 02/13/26 C210</t>
  </si>
  <si>
    <t>NVDA US 02/06/26 C197.5</t>
  </si>
  <si>
    <t>NVDA US 02/13/26 C202.5</t>
  </si>
  <si>
    <t>%OTM</t>
  </si>
  <si>
    <t>%Not</t>
  </si>
  <si>
    <t>%Delta</t>
  </si>
  <si>
    <t>Bps Risk</t>
  </si>
  <si>
    <t>Pre</t>
  </si>
  <si>
    <t>Post</t>
  </si>
  <si>
    <t>DOWN</t>
  </si>
  <si>
    <t>UP</t>
  </si>
  <si>
    <t>Unch</t>
  </si>
  <si>
    <t>bps chg</t>
  </si>
  <si>
    <t>META US 07/17/26 C700</t>
  </si>
  <si>
    <t>P&amp;L</t>
  </si>
  <si>
    <t>META 4.875% 11/15/35</t>
  </si>
  <si>
    <t>Provision Equity Total Return Swap USD_</t>
  </si>
  <si>
    <t>SWAP 300502 CH 30JAN2026 01FEB2027 57.9966</t>
  </si>
  <si>
    <t>TBOND</t>
  </si>
  <si>
    <t>T 4.000% 11/15/35</t>
  </si>
  <si>
    <t>NVDA US 02/06/26 C197.5 Equity</t>
  </si>
  <si>
    <t>NVDA US Equity</t>
  </si>
  <si>
    <t>197.5</t>
  </si>
  <si>
    <t>NVDA US 02/13/26 C202.5 Equity</t>
  </si>
  <si>
    <t>202.5</t>
  </si>
  <si>
    <t>NVDA US 05/15/26 C200 Equity</t>
  </si>
  <si>
    <t>META US 07/17/26 C700 Equity</t>
  </si>
  <si>
    <t>700</t>
  </si>
  <si>
    <t>CPLE3 20/02/26 P12.48 OTC</t>
  </si>
  <si>
    <t>CPLE3 Equity</t>
  </si>
  <si>
    <t>12.48</t>
  </si>
  <si>
    <t>CPLE3 20/02/26 P13.23 OTC</t>
  </si>
  <si>
    <t>13.23</t>
  </si>
  <si>
    <t>MULT3 20/03/26 C34.63 OTC</t>
  </si>
  <si>
    <t>MULT3 Equity</t>
  </si>
  <si>
    <t>34.63</t>
  </si>
  <si>
    <t>RADL3 20/03/26 C27.05 OTC</t>
  </si>
  <si>
    <t>RADL3 Equity</t>
  </si>
  <si>
    <t>27.05</t>
  </si>
  <si>
    <t>RADL3 20/03/26 P22.39 OTC</t>
  </si>
  <si>
    <t>22.39</t>
  </si>
  <si>
    <t>RADL3 20/03/26 P24.84 OTC</t>
  </si>
  <si>
    <t>24.84</t>
  </si>
  <si>
    <t>USIM5 20/02/26 C7.03 OTC</t>
  </si>
  <si>
    <t>USIM5 Equity</t>
  </si>
  <si>
    <t>7.03</t>
  </si>
  <si>
    <t>USIM5 20/02/26 C7.83 OTC</t>
  </si>
  <si>
    <t>7.83</t>
  </si>
  <si>
    <t>META/MSFT</t>
  </si>
  <si>
    <t>QQQ US 01/30/26 P620</t>
  </si>
  <si>
    <t>NVDA US 02/06/26 C195</t>
  </si>
  <si>
    <t>DELL US 02/06/26 P110</t>
  </si>
  <si>
    <t>DELL US 02/06/26 P115</t>
  </si>
  <si>
    <t>MSFT US 02/20/26 P420</t>
  </si>
  <si>
    <t>MSFT US 02/20/26 P410</t>
  </si>
  <si>
    <t>MSFT US 02/20/26 C445</t>
  </si>
  <si>
    <t>005930 KS</t>
  </si>
  <si>
    <t>YSS</t>
  </si>
  <si>
    <t>620</t>
  </si>
  <si>
    <t>META US 07/17/26 C750</t>
  </si>
  <si>
    <t>AAPL US 04/17/26 C260</t>
  </si>
  <si>
    <t>AAPL US 04/17/26 C280</t>
  </si>
  <si>
    <t>QQQ US 01/30/26 P619</t>
  </si>
  <si>
    <t>Expo QQQ Adj</t>
  </si>
  <si>
    <t>market</t>
  </si>
  <si>
    <t>1OG6P 25000</t>
  </si>
  <si>
    <t>1OH6</t>
  </si>
  <si>
    <t>NASDAQ-100 E-mini Futures - CME</t>
  </si>
  <si>
    <t>NQH6</t>
  </si>
  <si>
    <t>QQQ US 01/30/26 P621</t>
  </si>
  <si>
    <t>AAPL US 04/17/26 C260 Equity</t>
  </si>
  <si>
    <t>AAPL US Equity</t>
  </si>
  <si>
    <t>AAPL US 04/17/26 C280 Equity</t>
  </si>
  <si>
    <t>280</t>
  </si>
  <si>
    <t>META US 07/17/26 C750 Equity</t>
  </si>
  <si>
    <t>B3SA3 20/02/26 C17.67 OTC</t>
  </si>
  <si>
    <t>B3SA3 Equity</t>
  </si>
  <si>
    <t>17.67</t>
  </si>
  <si>
    <t>MOTV3 20/02/26 C18.01 OTC</t>
  </si>
  <si>
    <t>MOTV3 Equity</t>
  </si>
  <si>
    <t>18.01</t>
  </si>
  <si>
    <t>CSCO US 07/17/26 C670</t>
  </si>
  <si>
    <t>QQQ US 02/06/26 C634</t>
  </si>
  <si>
    <t>QQQ US 02/06/26 P624</t>
  </si>
  <si>
    <t>1OG6P 25750</t>
  </si>
  <si>
    <t>QQQ US 02/06/26 C640</t>
  </si>
  <si>
    <t>QQQ US 02/06/26 P620</t>
  </si>
  <si>
    <t>QQQ US 02/06/26 P615</t>
  </si>
  <si>
    <t>402340 KP</t>
  </si>
  <si>
    <t>005930 KP</t>
  </si>
  <si>
    <t>NASDAQ-100 E-mini Options - CME</t>
  </si>
  <si>
    <t>Provision CME USD_</t>
  </si>
  <si>
    <t>QQQ US 02/06/26 P615 Equity</t>
  </si>
  <si>
    <t>615</t>
  </si>
  <si>
    <t>QQQ US 02/06/26 P620 Equity</t>
  </si>
  <si>
    <t>PRIO3 17/04/26 P45.5 OTC</t>
  </si>
  <si>
    <t>45.5</t>
  </si>
  <si>
    <t>PRIO3 17/04/26 P49.5 OTC</t>
  </si>
  <si>
    <t>49.5</t>
  </si>
  <si>
    <t>SMH US 02/13/26 P390</t>
  </si>
  <si>
    <t>2OG6P 25000</t>
  </si>
  <si>
    <t>2OH6</t>
  </si>
  <si>
    <t>WMB</t>
  </si>
  <si>
    <t>Korea</t>
  </si>
  <si>
    <t>Others</t>
  </si>
  <si>
    <t>SNDK</t>
  </si>
  <si>
    <t>AMAT</t>
  </si>
  <si>
    <t>KLAC</t>
  </si>
  <si>
    <t>LRCX</t>
  </si>
  <si>
    <t>MRVL US 03/20/26 P60</t>
  </si>
  <si>
    <t>NFLX US 05/15/26 C90</t>
  </si>
  <si>
    <t>NFLX US 05/15/26 P70</t>
  </si>
  <si>
    <t>NFLX</t>
  </si>
  <si>
    <t>WDC</t>
  </si>
  <si>
    <t>QQQ US 02/03/26 P613</t>
  </si>
  <si>
    <t>QQQ US 02/03/26 P612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</si>
</sst>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8">
    <numFmt numFmtId="8" formatCode="&quot;R$&quot;\ #,##0.00;[Red]\-&quot;R$&quot;\ #,##0.00"/>
    <numFmt numFmtId="41" formatCode="_-* #,##0_-;\-* #,##0_-;_-* &quot;-&quot;_-;_-@_-"/>
    <numFmt numFmtId="43" formatCode="_-* #,##0.00_-;\-* #,##0.00_-;_-* &quot;-&quot;??_-;_-@_-"/>
    <numFmt numFmtId="164" formatCode="&quot;$&quot;#,##0.00_);\(&quot;$&quot;#,##0.00\)"/>
    <numFmt numFmtId="165" formatCode="_(* #,##0.00_);_(* \(#,##0.00\);_(* &quot;-&quot;??_);_(@_)"/>
    <numFmt numFmtId="166" formatCode="#,##0_ ;[Red]\-#,##0\ "/>
    <numFmt numFmtId="167" formatCode="_-* #,##0.0_-;\-* #,##0.0_-;_-* &quot;-&quot;??_-;_-@_-"/>
    <numFmt numFmtId="168" formatCode="_-* #,##0_-;\-* #,##0_-;_-* &quot;-&quot;??_-;_-@_-"/>
    <numFmt numFmtId="169" formatCode="#,##0.0_ ;[Red]\-#,##0.0\ "/>
    <numFmt numFmtId="170" formatCode="#,##0.00_ ;[Red]\-#,##0.00\ "/>
    <numFmt numFmtId="171" formatCode="#,##0.000_ ;[Red]\-#,##0.000\ "/>
    <numFmt numFmtId="172" formatCode="0.0%"/>
    <numFmt numFmtId="173" formatCode="0.000%"/>
    <numFmt numFmtId="174" formatCode="_(* #,##0.0_);_(* \(#,##0.0\);_(* &quot;-&quot;??_);_(@_)"/>
    <numFmt numFmtId="175" formatCode="_-* #,##0.0_-;\-* #,##0.0_-;_-* &quot;-&quot;?_-;_-@_-"/>
    <numFmt numFmtId="176" formatCode="0.000"/>
    <numFmt numFmtId="177" formatCode="[$-416]d\-mmm\-yy;@"/>
    <numFmt numFmtId="178" formatCode="[$-409]dd\-mmm\-yy;@"/>
    <numFmt numFmtId="179" formatCode="_(* #,##0_);_(* \(#,##0\);_(* &quot;-&quot;??_);_(@_)"/>
    <numFmt numFmtId="180" formatCode="[$-416]d\-mmm;@"/>
    <numFmt numFmtId="181" formatCode="_-* #,##0.000_-;\-* #,##0.000_-;_-* &quot;-&quot;??_-;_-@_-"/>
    <numFmt numFmtId="182" formatCode="0.0"/>
    <numFmt numFmtId="183" formatCode="0.0000"/>
    <numFmt numFmtId="184" formatCode="0&quot;bp&quot;"/>
    <numFmt numFmtId="185" formatCode="_([$€-2]* #,##0.00_);_([$€-2]* \(#,##0.00\);_([$€-2]* &quot;-&quot;??_)"/>
    <numFmt numFmtId="186" formatCode="0.00_);\(0.00\)"/>
    <numFmt numFmtId="187" formatCode="_([$€-2]* #,##0.0000_);_([$€-2]* \(#,##0.0000\);_([$€-2]* &quot;-&quot;??_)"/>
    <numFmt numFmtId="188" formatCode="0.00\%;\-0.00\%;0.00\%"/>
    <numFmt numFmtId="189" formatCode="0.00\x;\-0.00\x;0.00\x"/>
    <numFmt numFmtId="190" formatCode="##0.00000"/>
    <numFmt numFmtId="191" formatCode="_-&quot;£&quot;* #,##0_-;\-&quot;£&quot;* #,##0_-;_-&quot;£&quot;* &quot;-&quot;_-;_-@_-"/>
    <numFmt numFmtId="192" formatCode="_-&quot;£&quot;* #,##0.00_-;\-&quot;£&quot;* #,##0.00_-;_-&quot;£&quot;* &quot;-&quot;??_-;_-@_-"/>
    <numFmt numFmtId="193" formatCode="#,##0.000"/>
    <numFmt numFmtId="194" formatCode="_-* #,##0.000_-;\-* #,##0.000_-;_-* &quot;-&quot;???_-;_-@_-"/>
    <numFmt numFmtId="195" formatCode="#,##0.0"/>
    <numFmt numFmtId="196" formatCode="d/m/yy;@"/>
    <numFmt numFmtId="197" formatCode="_-* #,##0.00_-;\-* #,##0.00_-;_-* &quot;-&quot;???_-;_-@_-"/>
    <numFmt numFmtId="198" formatCode="0.0000%"/>
  </numFmts>
  <fonts count="106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11"/>
      <color rgb="FF00B050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sz val="10"/>
      <color rgb="FF0000FF"/>
      <name val="Aptos Narrow"/>
      <family val="2"/>
      <scheme val="minor"/>
    </font>
    <font>
      <sz val="1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8"/>
      <color theme="3"/>
      <name val="Aptos Display"/>
      <family val="2"/>
      <scheme val="major"/>
    </font>
    <font>
      <sz val="11"/>
      <color rgb="FF9C6500"/>
      <name val="Aptos Narrow"/>
      <family val="2"/>
      <scheme val="minor"/>
    </font>
    <font>
      <sz val="12"/>
      <name val="Helv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Arial"/>
      <family val="2"/>
    </font>
    <font>
      <b/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0"/>
      <name val="Arial Narrow"/>
      <family val="2"/>
    </font>
    <font>
      <sz val="10"/>
      <color indexed="22"/>
      <name val="MS Sans Serif"/>
      <family val="2"/>
    </font>
    <font>
      <sz val="14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0"/>
      <color indexed="24"/>
      <name val="Arial"/>
      <family val="2"/>
    </font>
    <font>
      <sz val="8"/>
      <name val="Times New Roman"/>
      <family val="1"/>
    </font>
    <font>
      <sz val="8"/>
      <name val="Courier"/>
      <family val="3"/>
    </font>
    <font>
      <b/>
      <sz val="8"/>
      <name val="Courier"/>
      <family val="3"/>
    </font>
    <font>
      <b/>
      <u/>
      <sz val="10"/>
      <name val="Courier"/>
      <family val="3"/>
    </font>
    <font>
      <u/>
      <sz val="11"/>
      <color theme="10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color indexed="0"/>
      <name val="Arial"/>
      <family val="2"/>
    </font>
    <font>
      <i/>
      <sz val="10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2"/>
      <color indexed="8"/>
      <name val="Frutiger 45 Light"/>
      <family val="2"/>
    </font>
    <font>
      <b/>
      <i/>
      <sz val="12"/>
      <color indexed="8"/>
      <name val="Arial"/>
      <family val="2"/>
    </font>
    <font>
      <sz val="12"/>
      <color indexed="8"/>
      <name val="Frutiger 45 Light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0"/>
      <color indexed="8"/>
      <name val="Frutiger 45 Light"/>
      <family val="2"/>
    </font>
    <font>
      <i/>
      <sz val="12"/>
      <color indexed="8"/>
      <name val="Arial"/>
      <family val="2"/>
    </font>
    <font>
      <sz val="19"/>
      <color indexed="48"/>
      <name val="Frutiger 45 Light"/>
      <family val="2"/>
    </font>
    <font>
      <sz val="12"/>
      <color indexed="14"/>
      <name val="Arial"/>
      <family val="2"/>
    </font>
    <font>
      <sz val="10"/>
      <color indexed="23"/>
      <name val="Arial"/>
      <family val="2"/>
    </font>
    <font>
      <b/>
      <sz val="12"/>
      <name val="MS Sans Serif"/>
      <family val="2"/>
    </font>
    <font>
      <sz val="10"/>
      <name val="Courier"/>
      <family val="3"/>
    </font>
    <font>
      <b/>
      <sz val="8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i/>
      <sz val="11"/>
      <color indexed="23"/>
      <name val="Calibri"/>
      <family val="2"/>
    </font>
    <font>
      <b/>
      <sz val="18"/>
      <color indexed="49"/>
      <name val="Cambria"/>
      <family val="2"/>
    </font>
    <font>
      <b/>
      <sz val="15"/>
      <color indexed="49"/>
      <name val="Calibri"/>
      <family val="2"/>
    </font>
    <font>
      <b/>
      <sz val="13"/>
      <color indexed="49"/>
      <name val="Calibri"/>
      <family val="2"/>
    </font>
    <font>
      <b/>
      <sz val="11"/>
      <color indexed="49"/>
      <name val="Calibri"/>
      <family val="2"/>
    </font>
    <font>
      <sz val="11"/>
      <color indexed="8"/>
      <name val="Aptos Narrow"/>
      <family val="2"/>
      <scheme val="minor"/>
    </font>
    <font>
      <sz val="9"/>
      <color theme="1"/>
      <name val="Calibri"/>
      <family val="2"/>
    </font>
    <font>
      <sz val="14"/>
      <color indexed="16"/>
      <name val="Arial"/>
      <family val="2"/>
    </font>
    <font>
      <b/>
      <sz val="8"/>
      <color indexed="62"/>
      <name val="Arial"/>
      <family val="2"/>
    </font>
    <font>
      <b/>
      <sz val="8"/>
      <color indexed="18"/>
      <name val="Arial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b/>
      <sz val="10"/>
      <color theme="0"/>
      <name val="Calibri"/>
      <family val="2"/>
    </font>
    <font>
      <sz val="11"/>
      <name val="Aptos Narrow"/>
      <family val="2"/>
      <scheme val="minor"/>
    </font>
    <font>
      <b/>
      <sz val="10"/>
      <color rgb="FF0000FF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2"/>
      <color theme="1"/>
      <name val="Aptos Display"/>
      <family val="2"/>
      <scheme val="major"/>
    </font>
    <font>
      <b/>
      <u/>
      <sz val="12"/>
      <color theme="1"/>
      <name val="Aptos Display"/>
      <family val="2"/>
      <scheme val="maj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0"/>
      <name val="Calibri"/>
      <family val="2"/>
    </font>
    <font>
      <sz val="11"/>
      <color indexed="17"/>
      <name val="Calibri"/>
      <family val="2"/>
    </font>
    <font>
      <sz val="11"/>
      <color indexed="52"/>
      <name val="Calibri"/>
      <family val="2"/>
    </font>
    <font>
      <sz val="11"/>
      <color indexed="54"/>
      <name val="Calibri"/>
      <family val="2"/>
    </font>
    <font>
      <sz val="10"/>
      <name val="Helv"/>
    </font>
    <font>
      <sz val="10"/>
      <name val="Frutiger 45 Light"/>
    </font>
    <font>
      <sz val="8"/>
      <name val="MS Sans Serif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sz val="11"/>
      <color rgb="FF0000FF"/>
      <name val="Aptos Narrow"/>
      <family val="2"/>
      <scheme val="minor"/>
    </font>
    <font>
      <sz val="11"/>
      <color rgb="FF000000"/>
      <name val="Aptos Narrow"/>
      <family val="2"/>
    </font>
  </fonts>
  <fills count="9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2A3A"/>
        <bgColor theme="1" tint="0.249977111117893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9"/>
      </patternFill>
    </fill>
    <fill>
      <patternFill patternType="solid">
        <fgColor rgb="FF4F81BD"/>
        <bgColor indexed="64"/>
      </patternFill>
    </fill>
    <fill>
      <patternFill patternType="lightGray">
        <fgColor indexed="12"/>
      </patternFill>
    </fill>
    <fill>
      <patternFill patternType="solid">
        <fgColor indexed="13"/>
        <bgColor indexed="64"/>
      </patternFill>
    </fill>
    <fill>
      <patternFill patternType="darkGray">
        <fgColor indexed="2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13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E5E79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97D"/>
        <bgColor rgb="FF000000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</fills>
  <borders count="6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5472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1" fillId="18" borderId="0" applyNumberFormat="0" applyBorder="0" applyAlignment="0" applyProtection="0"/>
    <xf numFmtId="0" fontId="22" fillId="19" borderId="0" applyNumberFormat="0" applyBorder="0" applyAlignment="0" applyProtection="0"/>
    <xf numFmtId="0" fontId="23" fillId="20" borderId="0" applyNumberFormat="0" applyBorder="0" applyAlignment="0" applyProtection="0"/>
    <xf numFmtId="0" fontId="24" fillId="21" borderId="23" applyNumberFormat="0" applyAlignment="0" applyProtection="0"/>
    <xf numFmtId="0" fontId="27" fillId="0" borderId="25" applyNumberFormat="0" applyFill="0" applyAlignment="0" applyProtection="0"/>
    <xf numFmtId="0" fontId="9" fillId="23" borderId="26" applyNumberFormat="0" applyAlignment="0" applyProtection="0"/>
    <xf numFmtId="0" fontId="28" fillId="0" borderId="0" applyNumberFormat="0" applyFill="0" applyBorder="0" applyAlignment="0" applyProtection="0"/>
    <xf numFmtId="0" fontId="1" fillId="24" borderId="27" applyNumberFormat="0" applyFont="0" applyAlignment="0" applyProtection="0"/>
    <xf numFmtId="0" fontId="2" fillId="0" borderId="28" applyNumberFormat="0" applyFill="0" applyAlignment="0" applyProtection="0"/>
    <xf numFmtId="37" fontId="33" fillId="0" borderId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6" borderId="0" applyNumberFormat="0" applyBorder="0" applyAlignment="0" applyProtection="0"/>
    <xf numFmtId="0" fontId="34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51" borderId="0" applyNumberFormat="0" applyBorder="0" applyAlignment="0" applyProtection="0"/>
    <xf numFmtId="0" fontId="34" fillId="49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47" borderId="0" applyNumberFormat="0" applyBorder="0" applyAlignment="0" applyProtection="0"/>
    <xf numFmtId="0" fontId="34" fillId="52" borderId="0" applyNumberFormat="0" applyBorder="0" applyAlignment="0" applyProtection="0"/>
    <xf numFmtId="0" fontId="34" fillId="53" borderId="0" applyNumberFormat="0" applyBorder="0" applyAlignment="0" applyProtection="0"/>
    <xf numFmtId="0" fontId="34" fillId="51" borderId="0" applyNumberFormat="0" applyBorder="0" applyAlignment="0" applyProtection="0"/>
    <xf numFmtId="0" fontId="34" fillId="52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0" fillId="28" borderId="0" applyNumberFormat="0" applyBorder="0" applyAlignment="0" applyProtection="0"/>
    <xf numFmtId="0" fontId="30" fillId="32" borderId="0" applyNumberFormat="0" applyBorder="0" applyAlignment="0" applyProtection="0"/>
    <xf numFmtId="0" fontId="30" fillId="36" borderId="0" applyNumberFormat="0" applyBorder="0" applyAlignment="0" applyProtection="0"/>
    <xf numFmtId="0" fontId="30" fillId="40" borderId="0" applyNumberFormat="0" applyBorder="0" applyAlignment="0" applyProtection="0"/>
    <xf numFmtId="0" fontId="30" fillId="44" borderId="0" applyNumberFormat="0" applyBorder="0" applyAlignment="0" applyProtection="0"/>
    <xf numFmtId="0" fontId="30" fillId="48" borderId="0" applyNumberFormat="0" applyBorder="0" applyAlignment="0" applyProtection="0"/>
    <xf numFmtId="0" fontId="35" fillId="54" borderId="0" applyNumberFormat="0" applyBorder="0" applyAlignment="0" applyProtection="0"/>
    <xf numFmtId="0" fontId="35" fillId="53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4" borderId="0" applyNumberFormat="0" applyBorder="0" applyAlignment="0" applyProtection="0"/>
    <xf numFmtId="0" fontId="35" fillId="50" borderId="0" applyNumberFormat="0" applyBorder="0" applyAlignment="0" applyProtection="0"/>
    <xf numFmtId="37" fontId="33" fillId="0" borderId="0"/>
    <xf numFmtId="0" fontId="30" fillId="25" borderId="0" applyNumberFormat="0" applyBorder="0" applyAlignment="0" applyProtection="0"/>
    <xf numFmtId="0" fontId="30" fillId="29" borderId="0" applyNumberFormat="0" applyBorder="0" applyAlignment="0" applyProtection="0"/>
    <xf numFmtId="0" fontId="30" fillId="33" borderId="0" applyNumberFormat="0" applyBorder="0" applyAlignment="0" applyProtection="0"/>
    <xf numFmtId="0" fontId="30" fillId="37" borderId="0" applyNumberFormat="0" applyBorder="0" applyAlignment="0" applyProtection="0"/>
    <xf numFmtId="0" fontId="30" fillId="41" borderId="0" applyNumberFormat="0" applyBorder="0" applyAlignment="0" applyProtection="0"/>
    <xf numFmtId="0" fontId="30" fillId="45" borderId="0" applyNumberFormat="0" applyBorder="0" applyAlignment="0" applyProtection="0"/>
    <xf numFmtId="0" fontId="36" fillId="0" borderId="0"/>
    <xf numFmtId="41" fontId="36" fillId="0" borderId="0" applyFont="0" applyFill="0" applyBorder="0" applyAlignment="0" applyProtection="0"/>
    <xf numFmtId="0" fontId="22" fillId="19" borderId="0" applyNumberFormat="0" applyBorder="0" applyAlignment="0" applyProtection="0"/>
    <xf numFmtId="184" fontId="36" fillId="0" borderId="0" applyFill="0" applyBorder="0" applyAlignment="0" applyProtection="0">
      <alignment horizontal="right"/>
      <protection locked="0"/>
    </xf>
    <xf numFmtId="0" fontId="37" fillId="55" borderId="0"/>
    <xf numFmtId="0" fontId="26" fillId="22" borderId="23" applyNumberFormat="0" applyAlignment="0" applyProtection="0"/>
    <xf numFmtId="0" fontId="38" fillId="49" borderId="29" applyNumberFormat="0" applyAlignment="0" applyProtection="0"/>
    <xf numFmtId="0" fontId="9" fillId="23" borderId="26" applyNumberFormat="0" applyAlignment="0" applyProtection="0"/>
    <xf numFmtId="0" fontId="36" fillId="0" borderId="0">
      <alignment horizontal="center" wrapText="1"/>
      <protection hidden="1"/>
    </xf>
    <xf numFmtId="0" fontId="39" fillId="0" borderId="0" applyNumberFormat="0" applyFill="0" applyBorder="0" applyAlignment="0"/>
    <xf numFmtId="183" fontId="36" fillId="0" borderId="0" applyFont="0" applyFill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3" fontId="40" fillId="0" borderId="0" applyFont="0" applyFill="0" applyBorder="0" applyAlignment="0" applyProtection="0"/>
    <xf numFmtId="0" fontId="41" fillId="56" borderId="0">
      <alignment horizontal="center" vertical="center" wrapText="1"/>
    </xf>
    <xf numFmtId="0" fontId="42" fillId="0" borderId="30" applyNumberFormat="0"/>
    <xf numFmtId="0" fontId="43" fillId="0" borderId="30" applyNumberFormat="0"/>
    <xf numFmtId="1" fontId="40" fillId="0" borderId="0" applyFont="0" applyFill="0" applyBorder="0" applyAlignment="0" applyProtection="0"/>
    <xf numFmtId="2" fontId="44" fillId="57" borderId="16">
      <protection locked="0"/>
    </xf>
    <xf numFmtId="0" fontId="45" fillId="0" borderId="0" applyNumberFormat="0" applyBorder="0" applyAlignment="0">
      <alignment horizontal="center"/>
    </xf>
    <xf numFmtId="0" fontId="45" fillId="58" borderId="0" applyNumberFormat="0" applyBorder="0" applyAlignment="0">
      <alignment horizontal="center"/>
    </xf>
    <xf numFmtId="0" fontId="46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5" fillId="54" borderId="0" applyNumberFormat="0" applyBorder="0" applyAlignment="0" applyProtection="0"/>
    <xf numFmtId="0" fontId="35" fillId="59" borderId="0" applyNumberFormat="0" applyBorder="0" applyAlignment="0" applyProtection="0"/>
    <xf numFmtId="0" fontId="35" fillId="60" borderId="0" applyNumberFormat="0" applyBorder="0" applyAlignment="0" applyProtection="0"/>
    <xf numFmtId="0" fontId="35" fillId="61" borderId="0" applyNumberFormat="0" applyBorder="0" applyAlignment="0" applyProtection="0"/>
    <xf numFmtId="0" fontId="35" fillId="54" borderId="0" applyNumberFormat="0" applyBorder="0" applyAlignment="0" applyProtection="0"/>
    <xf numFmtId="0" fontId="35" fillId="62" borderId="0" applyNumberFormat="0" applyBorder="0" applyAlignment="0" applyProtection="0"/>
    <xf numFmtId="0" fontId="36" fillId="0" borderId="0"/>
    <xf numFmtId="185" fontId="3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2" fontId="46" fillId="0" borderId="0" applyFont="0" applyFill="0" applyBorder="0" applyAlignment="0" applyProtection="0"/>
    <xf numFmtId="0" fontId="47" fillId="0" borderId="0" applyFill="0" applyBorder="0" applyProtection="0">
      <alignment horizontal="left"/>
    </xf>
    <xf numFmtId="0" fontId="21" fillId="18" borderId="0" applyNumberFormat="0" applyBorder="0" applyAlignment="0" applyProtection="0"/>
    <xf numFmtId="0" fontId="48" fillId="0" borderId="0" applyNumberFormat="0">
      <alignment horizontal="right"/>
    </xf>
    <xf numFmtId="0" fontId="49" fillId="0" borderId="0" applyNumberFormat="0">
      <alignment horizontal="right"/>
    </xf>
    <xf numFmtId="0" fontId="49" fillId="0" borderId="0" applyNumberFormat="0">
      <alignment horizontal="left"/>
    </xf>
    <xf numFmtId="0" fontId="48" fillId="0" borderId="0" applyNumberFormat="0">
      <alignment horizontal="left"/>
    </xf>
    <xf numFmtId="0" fontId="50" fillId="0" borderId="0" applyNumberFormat="0">
      <alignment horizontal="left" vertical="top"/>
    </xf>
    <xf numFmtId="0" fontId="18" fillId="0" borderId="20" applyNumberFormat="0" applyFill="0" applyAlignment="0" applyProtection="0"/>
    <xf numFmtId="0" fontId="19" fillId="0" borderId="21" applyNumberFormat="0" applyFill="0" applyAlignment="0" applyProtection="0"/>
    <xf numFmtId="0" fontId="20" fillId="0" borderId="22" applyNumberFormat="0" applyFill="0" applyAlignment="0" applyProtection="0"/>
    <xf numFmtId="0" fontId="20" fillId="0" borderId="0" applyNumberFormat="0" applyFill="0" applyBorder="0" applyAlignment="0" applyProtection="0"/>
    <xf numFmtId="0" fontId="51" fillId="0" borderId="0" applyNumberFormat="0" applyFill="0" applyBorder="0" applyAlignment="0" applyProtection="0">
      <alignment vertical="top"/>
      <protection locked="0"/>
    </xf>
    <xf numFmtId="0" fontId="52" fillId="63" borderId="0" applyNumberFormat="0" applyBorder="0" applyAlignment="0" applyProtection="0"/>
    <xf numFmtId="0" fontId="24" fillId="21" borderId="23" applyNumberFormat="0" applyAlignment="0" applyProtection="0"/>
    <xf numFmtId="186" fontId="36" fillId="0" borderId="0" applyFill="0" applyBorder="0">
      <alignment horizontal="right"/>
      <protection locked="0"/>
    </xf>
    <xf numFmtId="0" fontId="44" fillId="64" borderId="30">
      <alignment horizontal="left" vertical="center" wrapText="1"/>
    </xf>
    <xf numFmtId="0" fontId="27" fillId="0" borderId="25" applyNumberFormat="0" applyFill="0" applyAlignment="0" applyProtection="0"/>
    <xf numFmtId="0" fontId="53" fillId="65" borderId="0" applyNumberFormat="0" applyBorder="0" applyAlignment="0" applyProtection="0"/>
    <xf numFmtId="0" fontId="32" fillId="20" borderId="0" applyNumberFormat="0" applyBorder="0" applyAlignment="0" applyProtection="0"/>
    <xf numFmtId="171" fontId="36" fillId="0" borderId="0"/>
    <xf numFmtId="0" fontId="54" fillId="0" borderId="0"/>
    <xf numFmtId="0" fontId="36" fillId="0" borderId="0"/>
    <xf numFmtId="0" fontId="1" fillId="0" borderId="0"/>
    <xf numFmtId="0" fontId="36" fillId="0" borderId="0"/>
    <xf numFmtId="187" fontId="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" fillId="24" borderId="27" applyNumberFormat="0" applyFont="0" applyAlignment="0" applyProtection="0"/>
    <xf numFmtId="0" fontId="55" fillId="0" borderId="19"/>
    <xf numFmtId="0" fontId="56" fillId="0" borderId="0"/>
    <xf numFmtId="0" fontId="25" fillId="22" borderId="24" applyNumberFormat="0" applyAlignment="0" applyProtection="0"/>
    <xf numFmtId="9" fontId="36" fillId="0" borderId="0" applyFont="0" applyFill="0" applyBorder="0" applyAlignment="0" applyProtection="0"/>
    <xf numFmtId="9" fontId="1" fillId="0" borderId="0" applyFont="0" applyFill="0" applyBorder="0" applyAlignment="0" applyProtection="0"/>
    <xf numFmtId="188" fontId="36" fillId="0" borderId="0" applyFill="0" applyBorder="0">
      <alignment horizontal="right"/>
      <protection locked="0"/>
    </xf>
    <xf numFmtId="164" fontId="36" fillId="0" borderId="0" applyFont="0" applyFill="0" applyBorder="0" applyAlignment="0" applyProtection="0"/>
    <xf numFmtId="189" fontId="36" fillId="0" borderId="0">
      <alignment horizontal="right"/>
      <protection locked="0"/>
    </xf>
    <xf numFmtId="1" fontId="44" fillId="57" borderId="0" applyBorder="0">
      <protection locked="0"/>
    </xf>
    <xf numFmtId="1" fontId="44" fillId="57" borderId="13" applyBorder="0">
      <protection locked="0"/>
    </xf>
    <xf numFmtId="182" fontId="44" fillId="57" borderId="13" applyBorder="0">
      <protection locked="0"/>
    </xf>
    <xf numFmtId="0" fontId="57" fillId="49" borderId="31" applyNumberFormat="0" applyAlignment="0" applyProtection="0"/>
    <xf numFmtId="4" fontId="58" fillId="66" borderId="32" applyNumberFormat="0" applyProtection="0">
      <alignment vertical="center"/>
    </xf>
    <xf numFmtId="4" fontId="59" fillId="66" borderId="32" applyNumberFormat="0" applyProtection="0">
      <alignment vertical="center"/>
    </xf>
    <xf numFmtId="4" fontId="60" fillId="66" borderId="32" applyNumberFormat="0" applyProtection="0">
      <alignment horizontal="left" vertical="center" indent="1"/>
    </xf>
    <xf numFmtId="4" fontId="60" fillId="67" borderId="0" applyNumberFormat="0" applyProtection="0">
      <alignment horizontal="left" vertical="center" indent="1"/>
    </xf>
    <xf numFmtId="4" fontId="61" fillId="68" borderId="32" applyNumberFormat="0" applyProtection="0">
      <alignment horizontal="right" vertical="center"/>
    </xf>
    <xf numFmtId="4" fontId="61" fillId="69" borderId="32" applyNumberFormat="0" applyProtection="0">
      <alignment horizontal="right" vertical="center"/>
    </xf>
    <xf numFmtId="4" fontId="61" fillId="70" borderId="32" applyNumberFormat="0" applyProtection="0">
      <alignment horizontal="right" vertical="center"/>
    </xf>
    <xf numFmtId="4" fontId="61" fillId="71" borderId="32" applyNumberFormat="0" applyProtection="0">
      <alignment horizontal="right" vertical="center"/>
    </xf>
    <xf numFmtId="4" fontId="61" fillId="72" borderId="32" applyNumberFormat="0" applyProtection="0">
      <alignment horizontal="right" vertical="center"/>
    </xf>
    <xf numFmtId="4" fontId="61" fillId="73" borderId="32" applyNumberFormat="0" applyProtection="0">
      <alignment horizontal="right" vertical="center"/>
    </xf>
    <xf numFmtId="4" fontId="61" fillId="74" borderId="32" applyNumberFormat="0" applyProtection="0">
      <alignment horizontal="right" vertical="center"/>
    </xf>
    <xf numFmtId="4" fontId="61" fillId="75" borderId="32" applyNumberFormat="0" applyProtection="0">
      <alignment horizontal="right" vertical="center"/>
    </xf>
    <xf numFmtId="4" fontId="61" fillId="76" borderId="32" applyNumberFormat="0" applyProtection="0">
      <alignment horizontal="right" vertical="center"/>
    </xf>
    <xf numFmtId="4" fontId="58" fillId="77" borderId="33" applyNumberFormat="0" applyProtection="0">
      <alignment horizontal="left" vertical="center" indent="1"/>
    </xf>
    <xf numFmtId="4" fontId="58" fillId="78" borderId="0" applyNumberFormat="0" applyProtection="0">
      <alignment horizontal="left" vertical="center" indent="1"/>
    </xf>
    <xf numFmtId="4" fontId="62" fillId="67" borderId="0" applyNumberFormat="0" applyProtection="0">
      <alignment horizontal="left" vertical="center" indent="1"/>
    </xf>
    <xf numFmtId="4" fontId="61" fillId="78" borderId="32" applyNumberFormat="0" applyProtection="0">
      <alignment horizontal="right" vertical="center"/>
    </xf>
    <xf numFmtId="4" fontId="63" fillId="78" borderId="0" applyNumberFormat="0" applyProtection="0">
      <alignment horizontal="left" vertical="center" indent="1"/>
    </xf>
    <xf numFmtId="4" fontId="63" fillId="67" borderId="0" applyNumberFormat="0" applyProtection="0">
      <alignment horizontal="left" vertical="center" indent="1"/>
    </xf>
    <xf numFmtId="4" fontId="61" fillId="79" borderId="32" applyNumberFormat="0" applyProtection="0">
      <alignment vertical="center"/>
    </xf>
    <xf numFmtId="4" fontId="64" fillId="79" borderId="32" applyNumberFormat="0" applyProtection="0">
      <alignment vertical="center"/>
    </xf>
    <xf numFmtId="4" fontId="62" fillId="78" borderId="34" applyNumberFormat="0" applyProtection="0">
      <alignment horizontal="left" vertical="center" indent="1"/>
    </xf>
    <xf numFmtId="4" fontId="60" fillId="79" borderId="32" applyNumberFormat="0" applyProtection="0">
      <alignment horizontal="right" vertical="center"/>
    </xf>
    <xf numFmtId="4" fontId="64" fillId="79" borderId="32" applyNumberFormat="0" applyProtection="0">
      <alignment horizontal="right" vertical="center"/>
    </xf>
    <xf numFmtId="4" fontId="58" fillId="78" borderId="32" applyNumberFormat="0" applyProtection="0">
      <alignment horizontal="left" vertical="center" indent="1"/>
    </xf>
    <xf numFmtId="4" fontId="65" fillId="80" borderId="34" applyNumberFormat="0" applyProtection="0">
      <alignment horizontal="left" vertical="center" indent="1"/>
    </xf>
    <xf numFmtId="4" fontId="66" fillId="79" borderId="32" applyNumberFormat="0" applyProtection="0">
      <alignment horizontal="right" vertical="center"/>
    </xf>
    <xf numFmtId="190" fontId="67" fillId="0" borderId="0" applyFill="0" applyBorder="0">
      <alignment horizontal="right"/>
      <protection hidden="1"/>
    </xf>
    <xf numFmtId="0" fontId="68" fillId="56" borderId="16">
      <alignment horizontal="center" vertical="center" wrapText="1"/>
      <protection hidden="1"/>
    </xf>
    <xf numFmtId="0" fontId="44" fillId="57" borderId="0">
      <protection locked="0"/>
    </xf>
    <xf numFmtId="0" fontId="44" fillId="57" borderId="13" applyBorder="0">
      <protection locked="0"/>
    </xf>
    <xf numFmtId="181" fontId="36" fillId="0" borderId="0"/>
    <xf numFmtId="183" fontId="36" fillId="0" borderId="0">
      <alignment textRotation="255"/>
    </xf>
    <xf numFmtId="0" fontId="69" fillId="0" borderId="0">
      <alignment vertical="center"/>
    </xf>
    <xf numFmtId="0" fontId="36" fillId="0" borderId="0"/>
    <xf numFmtId="0" fontId="70" fillId="0" borderId="0" applyBorder="0" applyProtection="0">
      <alignment horizontal="left"/>
    </xf>
    <xf numFmtId="0" fontId="71" fillId="0" borderId="0" applyFill="0" applyBorder="0" applyProtection="0">
      <alignment horizontal="left"/>
    </xf>
    <xf numFmtId="0" fontId="72" fillId="0" borderId="18" applyFill="0" applyBorder="0" applyProtection="0">
      <alignment horizontal="left" vertical="top"/>
    </xf>
    <xf numFmtId="0" fontId="73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6" fillId="0" borderId="0" applyBorder="0"/>
    <xf numFmtId="0" fontId="74" fillId="0" borderId="0" applyNumberFormat="0" applyFill="0" applyBorder="0" applyAlignment="0" applyProtection="0"/>
    <xf numFmtId="0" fontId="75" fillId="0" borderId="35" applyNumberFormat="0" applyFill="0" applyAlignment="0" applyProtection="0"/>
    <xf numFmtId="0" fontId="76" fillId="0" borderId="36" applyNumberFormat="0" applyFill="0" applyAlignment="0" applyProtection="0"/>
    <xf numFmtId="0" fontId="77" fillId="0" borderId="37" applyNumberFormat="0" applyFill="0" applyAlignment="0" applyProtection="0"/>
    <xf numFmtId="0" fontId="77" fillId="0" borderId="0" applyNumberFormat="0" applyFill="0" applyBorder="0" applyAlignment="0" applyProtection="0"/>
    <xf numFmtId="0" fontId="2" fillId="0" borderId="28" applyNumberFormat="0" applyFill="0" applyAlignment="0" applyProtection="0"/>
    <xf numFmtId="176" fontId="44" fillId="57" borderId="16">
      <protection locked="0"/>
    </xf>
    <xf numFmtId="4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191" fontId="36" fillId="0" borderId="0" applyFont="0" applyFill="0" applyBorder="0" applyAlignment="0" applyProtection="0"/>
    <xf numFmtId="192" fontId="36" fillId="0" borderId="0" applyFont="0" applyFill="0" applyBorder="0" applyAlignment="0" applyProtection="0"/>
    <xf numFmtId="0" fontId="28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78" fillId="0" borderId="0"/>
    <xf numFmtId="0" fontId="79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8" fillId="0" borderId="0"/>
    <xf numFmtId="0" fontId="36" fillId="0" borderId="0"/>
    <xf numFmtId="0" fontId="1" fillId="0" borderId="0"/>
    <xf numFmtId="0" fontId="1" fillId="0" borderId="0"/>
    <xf numFmtId="0" fontId="1" fillId="0" borderId="0"/>
    <xf numFmtId="9" fontId="36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14" fontId="33" fillId="0" borderId="0"/>
    <xf numFmtId="14" fontId="33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54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0" fontId="81" fillId="0" borderId="0">
      <alignment vertical="top"/>
    </xf>
    <xf numFmtId="0" fontId="82" fillId="0" borderId="0">
      <alignment horizontal="left" vertical="top"/>
    </xf>
    <xf numFmtId="14" fontId="81" fillId="0" borderId="0">
      <alignment vertical="top"/>
    </xf>
    <xf numFmtId="0" fontId="81" fillId="81" borderId="7">
      <alignment horizontal="left" vertical="top"/>
    </xf>
    <xf numFmtId="0" fontId="80" fillId="0" borderId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0" fontId="83" fillId="0" borderId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1" fillId="18" borderId="0" applyNumberFormat="0" applyBorder="0" applyAlignment="0" applyProtection="0"/>
    <xf numFmtId="0" fontId="24" fillId="21" borderId="23" applyNumberFormat="0" applyAlignment="0" applyProtection="0"/>
    <xf numFmtId="0" fontId="27" fillId="0" borderId="25" applyNumberFormat="0" applyFill="0" applyAlignment="0" applyProtection="0"/>
    <xf numFmtId="0" fontId="9" fillId="23" borderId="26" applyNumberFormat="0" applyAlignment="0" applyProtection="0"/>
    <xf numFmtId="0" fontId="28" fillId="0" borderId="0" applyNumberFormat="0" applyFill="0" applyBorder="0" applyAlignment="0" applyProtection="0"/>
    <xf numFmtId="0" fontId="1" fillId="24" borderId="27" applyNumberFormat="0" applyFont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6" borderId="0" applyNumberFormat="0" applyBorder="0" applyAlignment="0" applyProtection="0"/>
    <xf numFmtId="0" fontId="1" fillId="40" borderId="0" applyNumberFormat="0" applyBorder="0" applyAlignment="0" applyProtection="0"/>
    <xf numFmtId="0" fontId="1" fillId="44" borderId="0" applyNumberFormat="0" applyBorder="0" applyAlignment="0" applyProtection="0"/>
    <xf numFmtId="0" fontId="1" fillId="48" borderId="0" applyNumberFormat="0" applyBorder="0" applyAlignment="0" applyProtection="0"/>
    <xf numFmtId="0" fontId="34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51" borderId="0" applyNumberFormat="0" applyBorder="0" applyAlignment="0" applyProtection="0"/>
    <xf numFmtId="0" fontId="34" fillId="49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4" fillId="52" borderId="0" applyNumberFormat="0" applyBorder="0" applyAlignment="0" applyProtection="0"/>
    <xf numFmtId="0" fontId="34" fillId="53" borderId="0" applyNumberFormat="0" applyBorder="0" applyAlignment="0" applyProtection="0"/>
    <xf numFmtId="0" fontId="34" fillId="51" borderId="0" applyNumberFormat="0" applyBorder="0" applyAlignment="0" applyProtection="0"/>
    <xf numFmtId="0" fontId="34" fillId="52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5" fillId="54" borderId="0" applyNumberFormat="0" applyBorder="0" applyAlignment="0" applyProtection="0"/>
    <xf numFmtId="0" fontId="35" fillId="53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4" borderId="0" applyNumberFormat="0" applyBorder="0" applyAlignment="0" applyProtection="0"/>
    <xf numFmtId="0" fontId="35" fillId="50" borderId="0" applyNumberFormat="0" applyBorder="0" applyAlignment="0" applyProtection="0"/>
    <xf numFmtId="0" fontId="96" fillId="51" borderId="0" applyNumberFormat="0" applyBorder="0" applyAlignment="0" applyProtection="0"/>
    <xf numFmtId="0" fontId="38" fillId="49" borderId="29" applyNumberFormat="0" applyAlignment="0" applyProtection="0"/>
    <xf numFmtId="0" fontId="37" fillId="89" borderId="42" applyNumberFormat="0" applyAlignment="0" applyProtection="0"/>
    <xf numFmtId="0" fontId="97" fillId="0" borderId="43" applyNumberFormat="0" applyFill="0" applyAlignment="0" applyProtection="0"/>
    <xf numFmtId="0" fontId="35" fillId="54" borderId="0" applyNumberFormat="0" applyBorder="0" applyAlignment="0" applyProtection="0"/>
    <xf numFmtId="0" fontId="35" fillId="59" borderId="0" applyNumberFormat="0" applyBorder="0" applyAlignment="0" applyProtection="0"/>
    <xf numFmtId="0" fontId="35" fillId="60" borderId="0" applyNumberFormat="0" applyBorder="0" applyAlignment="0" applyProtection="0"/>
    <xf numFmtId="0" fontId="35" fillId="61" borderId="0" applyNumberFormat="0" applyBorder="0" applyAlignment="0" applyProtection="0"/>
    <xf numFmtId="0" fontId="35" fillId="54" borderId="0" applyNumberFormat="0" applyBorder="0" applyAlignment="0" applyProtection="0"/>
    <xf numFmtId="0" fontId="35" fillId="62" borderId="0" applyNumberFormat="0" applyBorder="0" applyAlignment="0" applyProtection="0"/>
    <xf numFmtId="0" fontId="98" fillId="50" borderId="29" applyNumberFormat="0" applyAlignment="0" applyProtection="0"/>
    <xf numFmtId="0" fontId="36" fillId="0" borderId="0" applyFont="0" applyFill="0" applyBorder="0" applyAlignment="0" applyProtection="0"/>
    <xf numFmtId="8" fontId="99" fillId="0" borderId="0" applyFont="0" applyFill="0" applyBorder="0" applyAlignment="0" applyProtection="0"/>
    <xf numFmtId="0" fontId="100" fillId="90" borderId="44" applyNumberFormat="0" applyFont="0" applyAlignment="0" applyProtection="0"/>
    <xf numFmtId="0" fontId="57" fillId="49" borderId="31" applyNumberFormat="0" applyAlignment="0" applyProtection="0"/>
    <xf numFmtId="0" fontId="101" fillId="0" borderId="0" applyFont="0" applyFill="0" applyBorder="0" applyAlignment="0" applyProtection="0"/>
    <xf numFmtId="4" fontId="99" fillId="0" borderId="0" applyFont="0" applyFill="0" applyBorder="0" applyAlignment="0" applyProtection="0"/>
    <xf numFmtId="0" fontId="10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75" fillId="0" borderId="35" applyNumberFormat="0" applyFill="0" applyAlignment="0" applyProtection="0"/>
    <xf numFmtId="0" fontId="76" fillId="0" borderId="36" applyNumberFormat="0" applyFill="0" applyAlignment="0" applyProtection="0"/>
    <xf numFmtId="0" fontId="77" fillId="0" borderId="37" applyNumberFormat="0" applyFill="0" applyAlignment="0" applyProtection="0"/>
    <xf numFmtId="0" fontId="77" fillId="0" borderId="0" applyNumberFormat="0" applyFill="0" applyBorder="0" applyAlignment="0" applyProtection="0"/>
    <xf numFmtId="0" fontId="103" fillId="0" borderId="0" applyNumberFormat="0" applyFill="0" applyBorder="0" applyAlignment="0" applyProtection="0"/>
    <xf numFmtId="4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577">
    <xf numFmtId="0" fontId="0" fillId="0" borderId="0" xfId="0"/>
    <xf numFmtId="43" fontId="0" fillId="0" borderId="0" xfId="190" applyNumberFormat="1" applyFont="1"/>
    <xf numFmtId="167" fontId="0" fillId="0" borderId="0" xfId="190" applyNumberFormat="1" applyFont="1"/>
    <xf numFmtId="168" fontId="0" fillId="0" borderId="0" xfId="190" applyNumberFormat="1" applyFont="1"/>
    <xf numFmtId="166" fontId="0" fillId="0" borderId="0" xfId="190" applyNumberFormat="1" applyFont="1"/>
    <xf numFmtId="10" fontId="0" fillId="0" borderId="0" xfId="1" applyNumberFormat="1" applyFont="1"/>
    <xf numFmtId="0" fontId="2" fillId="0" borderId="0" xfId="0" applyFont="1"/>
    <xf numFmtId="0" fontId="2" fillId="0" borderId="0" xfId="0" applyFont="1" applyAlignment="1">
      <alignment horizontal="center"/>
    </xf>
    <xf numFmtId="168" fontId="0" fillId="2" borderId="0" xfId="190" applyNumberFormat="1" applyFont="1" applyFill="1"/>
    <xf numFmtId="170" fontId="0" fillId="0" borderId="0" xfId="190" applyNumberFormat="1" applyFont="1"/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3" xfId="0" applyFont="1" applyBorder="1" applyAlignment="1">
      <alignment horizontal="center" vertical="top" wrapText="1"/>
    </xf>
    <xf numFmtId="166" fontId="0" fillId="0" borderId="0" xfId="0" applyNumberFormat="1"/>
    <xf numFmtId="43" fontId="0" fillId="2" borderId="0" xfId="190" applyNumberFormat="1" applyFont="1" applyFill="1"/>
    <xf numFmtId="166" fontId="0" fillId="0" borderId="0" xfId="190" applyNumberFormat="1" applyFont="1" applyFill="1"/>
    <xf numFmtId="168" fontId="2" fillId="2" borderId="0" xfId="0" applyNumberFormat="1" applyFont="1" applyFill="1"/>
    <xf numFmtId="168" fontId="0" fillId="0" borderId="0" xfId="0" applyNumberFormat="1"/>
    <xf numFmtId="10" fontId="0" fillId="0" borderId="0" xfId="1" applyNumberFormat="1" applyFont="1" applyFill="1"/>
    <xf numFmtId="170" fontId="0" fillId="0" borderId="1" xfId="190" applyNumberFormat="1" applyFont="1" applyFill="1" applyBorder="1"/>
    <xf numFmtId="172" fontId="0" fillId="0" borderId="0" xfId="1" applyNumberFormat="1" applyFont="1"/>
    <xf numFmtId="0" fontId="0" fillId="0" borderId="0" xfId="0" applyAlignment="1">
      <alignment horizontal="center"/>
    </xf>
    <xf numFmtId="14" fontId="0" fillId="0" borderId="0" xfId="0" applyNumberFormat="1"/>
    <xf numFmtId="0" fontId="2" fillId="3" borderId="2" xfId="0" applyFont="1" applyFill="1" applyBorder="1" applyAlignment="1">
      <alignment horizontal="center" vertical="top" wrapText="1"/>
    </xf>
    <xf numFmtId="0" fontId="2" fillId="3" borderId="3" xfId="0" applyFont="1" applyFill="1" applyBorder="1" applyAlignment="1">
      <alignment horizontal="center" vertical="top" wrapText="1"/>
    </xf>
    <xf numFmtId="43" fontId="2" fillId="0" borderId="2" xfId="190" applyNumberFormat="1" applyFont="1" applyFill="1" applyBorder="1" applyAlignment="1">
      <alignment horizontal="center" vertical="top" wrapText="1"/>
    </xf>
    <xf numFmtId="172" fontId="0" fillId="0" borderId="0" xfId="1" applyNumberFormat="1" applyFont="1" applyFill="1" applyBorder="1"/>
    <xf numFmtId="0" fontId="2" fillId="0" borderId="2" xfId="0" applyFont="1" applyBorder="1"/>
    <xf numFmtId="172" fontId="2" fillId="0" borderId="2" xfId="1" applyNumberFormat="1" applyFont="1" applyFill="1" applyBorder="1"/>
    <xf numFmtId="172" fontId="2" fillId="0" borderId="0" xfId="1" applyNumberFormat="1" applyFont="1" applyFill="1" applyBorder="1"/>
    <xf numFmtId="169" fontId="2" fillId="0" borderId="1" xfId="190" applyNumberFormat="1" applyFont="1" applyFill="1" applyBorder="1"/>
    <xf numFmtId="173" fontId="0" fillId="0" borderId="0" xfId="1" applyNumberFormat="1" applyFont="1"/>
    <xf numFmtId="10" fontId="0" fillId="3" borderId="0" xfId="1" applyNumberFormat="1" applyFont="1" applyFill="1" applyBorder="1"/>
    <xf numFmtId="10" fontId="2" fillId="3" borderId="2" xfId="1" applyNumberFormat="1" applyFont="1" applyFill="1" applyBorder="1"/>
    <xf numFmtId="10" fontId="2" fillId="3" borderId="0" xfId="1" applyNumberFormat="1" applyFont="1" applyFill="1" applyBorder="1"/>
    <xf numFmtId="43" fontId="0" fillId="0" borderId="0" xfId="190" applyNumberFormat="1" applyFont="1" applyFill="1"/>
    <xf numFmtId="167" fontId="0" fillId="0" borderId="0" xfId="190" applyNumberFormat="1" applyFont="1" applyFill="1"/>
    <xf numFmtId="170" fontId="0" fillId="0" borderId="0" xfId="190" applyNumberFormat="1" applyFont="1" applyFill="1"/>
    <xf numFmtId="170" fontId="0" fillId="3" borderId="1" xfId="190" applyNumberFormat="1" applyFont="1" applyFill="1" applyBorder="1"/>
    <xf numFmtId="172" fontId="0" fillId="0" borderId="0" xfId="1" applyNumberFormat="1" applyFont="1" applyFill="1"/>
    <xf numFmtId="170" fontId="2" fillId="3" borderId="1" xfId="190" applyNumberFormat="1" applyFont="1" applyFill="1" applyBorder="1"/>
    <xf numFmtId="166" fontId="0" fillId="4" borderId="0" xfId="190" applyNumberFormat="1" applyFont="1" applyFill="1"/>
    <xf numFmtId="10" fontId="0" fillId="0" borderId="0" xfId="0" applyNumberFormat="1"/>
    <xf numFmtId="10" fontId="2" fillId="0" borderId="2" xfId="1" applyNumberFormat="1" applyFont="1" applyFill="1" applyBorder="1"/>
    <xf numFmtId="0" fontId="0" fillId="0" borderId="0" xfId="0" applyAlignment="1">
      <alignment horizontal="right"/>
    </xf>
    <xf numFmtId="169" fontId="2" fillId="0" borderId="0" xfId="190" applyNumberFormat="1" applyFont="1" applyFill="1" applyBorder="1"/>
    <xf numFmtId="170" fontId="2" fillId="0" borderId="2" xfId="190" applyNumberFormat="1" applyFont="1" applyBorder="1"/>
    <xf numFmtId="173" fontId="0" fillId="0" borderId="0" xfId="1" applyNumberFormat="1" applyFont="1" applyFill="1"/>
    <xf numFmtId="172" fontId="2" fillId="0" borderId="0" xfId="1" applyNumberFormat="1" applyFont="1"/>
    <xf numFmtId="170" fontId="0" fillId="0" borderId="0" xfId="0" applyNumberFormat="1"/>
    <xf numFmtId="10" fontId="0" fillId="0" borderId="1" xfId="1" applyNumberFormat="1" applyFont="1" applyFill="1" applyBorder="1"/>
    <xf numFmtId="166" fontId="0" fillId="0" borderId="1" xfId="190" applyNumberFormat="1" applyFont="1" applyFill="1" applyBorder="1"/>
    <xf numFmtId="168" fontId="0" fillId="0" borderId="0" xfId="190" applyNumberFormat="1" applyFont="1" applyFill="1"/>
    <xf numFmtId="10" fontId="0" fillId="0" borderId="0" xfId="1" applyNumberFormat="1" applyFont="1" applyAlignment="1">
      <alignment horizontal="center"/>
    </xf>
    <xf numFmtId="170" fontId="0" fillId="0" borderId="0" xfId="190" applyNumberFormat="1" applyFont="1" applyAlignment="1">
      <alignment horizontal="center"/>
    </xf>
    <xf numFmtId="170" fontId="2" fillId="0" borderId="2" xfId="190" applyNumberFormat="1" applyFont="1" applyBorder="1" applyAlignment="1">
      <alignment horizontal="center"/>
    </xf>
    <xf numFmtId="0" fontId="2" fillId="0" borderId="4" xfId="0" applyFont="1" applyBorder="1" applyAlignment="1">
      <alignment horizontal="center" vertical="top" wrapText="1"/>
    </xf>
    <xf numFmtId="171" fontId="1" fillId="0" borderId="0" xfId="190" applyNumberFormat="1" applyFont="1" applyFill="1"/>
    <xf numFmtId="0" fontId="0" fillId="2" borderId="0" xfId="0" applyFill="1"/>
    <xf numFmtId="43" fontId="2" fillId="0" borderId="0" xfId="190" applyNumberFormat="1" applyFont="1" applyFill="1" applyAlignment="1">
      <alignment horizontal="center" vertical="top" wrapText="1"/>
    </xf>
    <xf numFmtId="167" fontId="0" fillId="7" borderId="0" xfId="190" applyNumberFormat="1" applyFont="1" applyFill="1"/>
    <xf numFmtId="0" fontId="0" fillId="7" borderId="0" xfId="0" applyFill="1"/>
    <xf numFmtId="1" fontId="0" fillId="7" borderId="0" xfId="190" applyNumberFormat="1" applyFont="1" applyFill="1"/>
    <xf numFmtId="43" fontId="0" fillId="0" borderId="0" xfId="0" applyNumberFormat="1"/>
    <xf numFmtId="171" fontId="0" fillId="0" borderId="0" xfId="0" applyNumberFormat="1"/>
    <xf numFmtId="172" fontId="0" fillId="0" borderId="0" xfId="0" applyNumberFormat="1"/>
    <xf numFmtId="168" fontId="2" fillId="0" borderId="0" xfId="190" applyNumberFormat="1" applyFont="1" applyFill="1" applyAlignment="1">
      <alignment horizontal="center" vertical="top" wrapText="1"/>
    </xf>
    <xf numFmtId="171" fontId="2" fillId="0" borderId="0" xfId="0" applyNumberFormat="1" applyFont="1" applyAlignment="1">
      <alignment horizontal="center" vertical="top" wrapText="1"/>
    </xf>
    <xf numFmtId="172" fontId="2" fillId="0" borderId="0" xfId="0" applyNumberFormat="1" applyFont="1" applyAlignment="1">
      <alignment horizontal="center" vertical="top" wrapText="1"/>
    </xf>
    <xf numFmtId="166" fontId="2" fillId="0" borderId="0" xfId="0" applyNumberFormat="1" applyFont="1" applyAlignment="1">
      <alignment horizontal="center" vertical="top" wrapText="1"/>
    </xf>
    <xf numFmtId="173" fontId="0" fillId="0" borderId="0" xfId="0" applyNumberFormat="1"/>
    <xf numFmtId="0" fontId="2" fillId="2" borderId="0" xfId="0" applyFont="1" applyFill="1" applyAlignment="1">
      <alignment horizontal="center" vertical="top" wrapText="1"/>
    </xf>
    <xf numFmtId="0" fontId="0" fillId="4" borderId="0" xfId="0" applyFill="1"/>
    <xf numFmtId="43" fontId="0" fillId="4" borderId="0" xfId="190" applyNumberFormat="1" applyFont="1" applyFill="1"/>
    <xf numFmtId="10" fontId="0" fillId="4" borderId="0" xfId="1" applyNumberFormat="1" applyFont="1" applyFill="1"/>
    <xf numFmtId="172" fontId="0" fillId="4" borderId="0" xfId="1" applyNumberFormat="1" applyFont="1" applyFill="1"/>
    <xf numFmtId="167" fontId="0" fillId="4" borderId="0" xfId="190" applyNumberFormat="1" applyFont="1" applyFill="1"/>
    <xf numFmtId="170" fontId="0" fillId="4" borderId="0" xfId="190" applyNumberFormat="1" applyFont="1" applyFill="1"/>
    <xf numFmtId="43" fontId="0" fillId="2" borderId="0" xfId="0" applyNumberFormat="1" applyFill="1"/>
    <xf numFmtId="16" fontId="0" fillId="0" borderId="0" xfId="0" applyNumberFormat="1"/>
    <xf numFmtId="168" fontId="1" fillId="0" borderId="0" xfId="190" applyNumberFormat="1" applyFont="1"/>
    <xf numFmtId="10" fontId="1" fillId="0" borderId="0" xfId="1" applyNumberFormat="1" applyFont="1"/>
    <xf numFmtId="168" fontId="2" fillId="2" borderId="0" xfId="190" applyNumberFormat="1" applyFont="1" applyFill="1" applyAlignment="1">
      <alignment horizontal="center" vertical="top" wrapText="1"/>
    </xf>
    <xf numFmtId="0" fontId="0" fillId="0" borderId="6" xfId="0" applyBorder="1"/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9" xfId="0" applyBorder="1"/>
    <xf numFmtId="168" fontId="2" fillId="2" borderId="0" xfId="190" applyNumberFormat="1" applyFont="1" applyFill="1" applyBorder="1"/>
    <xf numFmtId="168" fontId="2" fillId="0" borderId="10" xfId="190" applyNumberFormat="1" applyFont="1" applyBorder="1"/>
    <xf numFmtId="0" fontId="0" fillId="0" borderId="11" xfId="0" applyBorder="1"/>
    <xf numFmtId="168" fontId="2" fillId="0" borderId="4" xfId="190" applyNumberFormat="1" applyFont="1" applyBorder="1"/>
    <xf numFmtId="168" fontId="2" fillId="0" borderId="12" xfId="190" applyNumberFormat="1" applyFont="1" applyBorder="1"/>
    <xf numFmtId="0" fontId="2" fillId="2" borderId="0" xfId="0" applyFont="1" applyFill="1"/>
    <xf numFmtId="173" fontId="2" fillId="0" borderId="0" xfId="190" applyNumberFormat="1" applyFont="1" applyFill="1" applyAlignment="1">
      <alignment horizontal="center" vertical="top" wrapText="1"/>
    </xf>
    <xf numFmtId="0" fontId="0" fillId="5" borderId="0" xfId="0" applyFill="1"/>
    <xf numFmtId="166" fontId="0" fillId="9" borderId="0" xfId="190" applyNumberFormat="1" applyFont="1" applyFill="1"/>
    <xf numFmtId="43" fontId="0" fillId="6" borderId="0" xfId="190" applyNumberFormat="1" applyFont="1" applyFill="1"/>
    <xf numFmtId="0" fontId="6" fillId="6" borderId="0" xfId="0" applyFont="1" applyFill="1"/>
    <xf numFmtId="0" fontId="7" fillId="6" borderId="0" xfId="0" applyFont="1" applyFill="1"/>
    <xf numFmtId="0" fontId="8" fillId="3" borderId="0" xfId="0" applyFont="1" applyFill="1"/>
    <xf numFmtId="9" fontId="8" fillId="3" borderId="0" xfId="1" applyFont="1" applyFill="1"/>
    <xf numFmtId="43" fontId="8" fillId="3" borderId="0" xfId="0" applyNumberFormat="1" applyFont="1" applyFill="1"/>
    <xf numFmtId="171" fontId="8" fillId="3" borderId="0" xfId="0" applyNumberFormat="1" applyFont="1" applyFill="1"/>
    <xf numFmtId="10" fontId="8" fillId="3" borderId="0" xfId="1" applyNumberFormat="1" applyFont="1" applyFill="1"/>
    <xf numFmtId="166" fontId="8" fillId="6" borderId="0" xfId="190" applyNumberFormat="1" applyFont="1" applyFill="1"/>
    <xf numFmtId="43" fontId="2" fillId="2" borderId="0" xfId="190" applyNumberFormat="1" applyFont="1" applyFill="1" applyAlignment="1">
      <alignment horizontal="center" vertical="top" wrapText="1"/>
    </xf>
    <xf numFmtId="171" fontId="2" fillId="2" borderId="0" xfId="0" applyNumberFormat="1" applyFont="1" applyFill="1" applyAlignment="1">
      <alignment horizontal="center" vertical="top" wrapText="1"/>
    </xf>
    <xf numFmtId="170" fontId="8" fillId="3" borderId="0" xfId="0" applyNumberFormat="1" applyFont="1" applyFill="1"/>
    <xf numFmtId="43" fontId="8" fillId="3" borderId="0" xfId="190" applyNumberFormat="1" applyFont="1" applyFill="1"/>
    <xf numFmtId="0" fontId="2" fillId="2" borderId="0" xfId="0" applyFont="1" applyFill="1" applyAlignment="1">
      <alignment horizontal="center"/>
    </xf>
    <xf numFmtId="9" fontId="2" fillId="2" borderId="0" xfId="0" applyNumberFormat="1" applyFont="1" applyFill="1" applyAlignment="1">
      <alignment horizontal="center" vertical="top" wrapText="1"/>
    </xf>
    <xf numFmtId="9" fontId="2" fillId="0" borderId="0" xfId="0" applyNumberFormat="1" applyFont="1" applyAlignment="1">
      <alignment horizontal="center" vertical="top" wrapText="1"/>
    </xf>
    <xf numFmtId="170" fontId="1" fillId="4" borderId="0" xfId="190" applyNumberFormat="1" applyFont="1" applyFill="1"/>
    <xf numFmtId="172" fontId="0" fillId="2" borderId="0" xfId="0" applyNumberFormat="1" applyFill="1"/>
    <xf numFmtId="172" fontId="2" fillId="2" borderId="0" xfId="0" applyNumberFormat="1" applyFont="1" applyFill="1" applyAlignment="1">
      <alignment horizontal="center" vertical="top" wrapText="1"/>
    </xf>
    <xf numFmtId="170" fontId="0" fillId="5" borderId="0" xfId="0" applyNumberFormat="1" applyFill="1"/>
    <xf numFmtId="170" fontId="2" fillId="0" borderId="0" xfId="190" applyNumberFormat="1" applyFont="1" applyFill="1" applyAlignment="1">
      <alignment horizontal="center" vertical="top" wrapText="1"/>
    </xf>
    <xf numFmtId="43" fontId="0" fillId="4" borderId="0" xfId="190" quotePrefix="1" applyNumberFormat="1" applyFont="1" applyFill="1"/>
    <xf numFmtId="170" fontId="2" fillId="2" borderId="0" xfId="0" applyNumberFormat="1" applyFont="1" applyFill="1" applyAlignment="1">
      <alignment horizontal="center"/>
    </xf>
    <xf numFmtId="170" fontId="2" fillId="0" borderId="0" xfId="0" applyNumberFormat="1" applyFont="1" applyAlignment="1">
      <alignment horizontal="center" vertical="top" wrapText="1"/>
    </xf>
    <xf numFmtId="167" fontId="2" fillId="0" borderId="0" xfId="190" applyNumberFormat="1" applyFont="1" applyAlignment="1">
      <alignment horizontal="center" vertical="top" wrapText="1"/>
    </xf>
    <xf numFmtId="173" fontId="8" fillId="3" borderId="0" xfId="1" applyNumberFormat="1" applyFont="1" applyFill="1"/>
    <xf numFmtId="43" fontId="0" fillId="10" borderId="0" xfId="190" applyNumberFormat="1" applyFont="1" applyFill="1"/>
    <xf numFmtId="170" fontId="1" fillId="0" borderId="0" xfId="190" applyNumberFormat="1" applyFont="1" applyFill="1"/>
    <xf numFmtId="167" fontId="2" fillId="0" borderId="0" xfId="190" applyNumberFormat="1" applyFont="1"/>
    <xf numFmtId="43" fontId="0" fillId="0" borderId="0" xfId="1" applyNumberFormat="1" applyFont="1" applyFill="1"/>
    <xf numFmtId="173" fontId="0" fillId="2" borderId="0" xfId="0" applyNumberFormat="1" applyFill="1"/>
    <xf numFmtId="10" fontId="0" fillId="2" borderId="0" xfId="1" applyNumberFormat="1" applyFont="1" applyFill="1"/>
    <xf numFmtId="9" fontId="0" fillId="0" borderId="0" xfId="1" applyFont="1"/>
    <xf numFmtId="166" fontId="8" fillId="3" borderId="0" xfId="0" applyNumberFormat="1" applyFont="1" applyFill="1"/>
    <xf numFmtId="168" fontId="0" fillId="9" borderId="0" xfId="190" applyNumberFormat="1" applyFont="1" applyFill="1"/>
    <xf numFmtId="0" fontId="0" fillId="11" borderId="0" xfId="0" applyFill="1"/>
    <xf numFmtId="168" fontId="2" fillId="3" borderId="0" xfId="190" applyNumberFormat="1" applyFont="1" applyFill="1" applyBorder="1"/>
    <xf numFmtId="0" fontId="0" fillId="0" borderId="0" xfId="0" applyAlignment="1">
      <alignment horizontal="center" vertical="center" wrapText="1"/>
    </xf>
    <xf numFmtId="43" fontId="2" fillId="2" borderId="0" xfId="190" applyNumberFormat="1" applyFont="1" applyFill="1" applyAlignment="1">
      <alignment horizontal="center" vertical="center" wrapText="1"/>
    </xf>
    <xf numFmtId="14" fontId="10" fillId="12" borderId="2" xfId="0" applyNumberFormat="1" applyFont="1" applyFill="1" applyBorder="1" applyAlignment="1">
      <alignment horizontal="center" vertical="center" wrapText="1"/>
    </xf>
    <xf numFmtId="174" fontId="2" fillId="2" borderId="0" xfId="190" applyNumberFormat="1" applyFont="1" applyFill="1" applyAlignment="1">
      <alignment horizontal="center" vertical="center" wrapText="1"/>
    </xf>
    <xf numFmtId="0" fontId="0" fillId="0" borderId="15" xfId="0" applyBorder="1"/>
    <xf numFmtId="168" fontId="1" fillId="3" borderId="15" xfId="190" applyNumberFormat="1" applyFont="1" applyFill="1" applyBorder="1" applyAlignment="1">
      <alignment horizontal="right"/>
    </xf>
    <xf numFmtId="168" fontId="0" fillId="0" borderId="15" xfId="190" applyNumberFormat="1" applyFont="1" applyBorder="1"/>
    <xf numFmtId="167" fontId="0" fillId="0" borderId="15" xfId="190" applyNumberFormat="1" applyFont="1" applyBorder="1"/>
    <xf numFmtId="168" fontId="1" fillId="3" borderId="0" xfId="190" applyNumberFormat="1" applyFont="1" applyFill="1" applyBorder="1" applyAlignment="1">
      <alignment horizontal="right"/>
    </xf>
    <xf numFmtId="168" fontId="0" fillId="0" borderId="0" xfId="190" applyNumberFormat="1" applyFont="1" applyBorder="1"/>
    <xf numFmtId="167" fontId="0" fillId="0" borderId="0" xfId="190" applyNumberFormat="1" applyFont="1" applyBorder="1"/>
    <xf numFmtId="167" fontId="0" fillId="0" borderId="0" xfId="0" applyNumberFormat="1"/>
    <xf numFmtId="167" fontId="0" fillId="0" borderId="15" xfId="190" applyNumberFormat="1" applyFont="1" applyBorder="1" applyAlignment="1">
      <alignment horizontal="center" vertical="center" wrapText="1"/>
    </xf>
    <xf numFmtId="175" fontId="0" fillId="0" borderId="15" xfId="0" applyNumberFormat="1" applyBorder="1"/>
    <xf numFmtId="43" fontId="1" fillId="3" borderId="0" xfId="190" applyNumberFormat="1" applyFont="1" applyFill="1" applyBorder="1" applyAlignment="1">
      <alignment horizontal="right"/>
    </xf>
    <xf numFmtId="43" fontId="0" fillId="0" borderId="0" xfId="190" applyNumberFormat="1" applyFont="1" applyBorder="1"/>
    <xf numFmtId="167" fontId="0" fillId="0" borderId="0" xfId="190" applyNumberFormat="1" applyFont="1" applyBorder="1" applyAlignment="1">
      <alignment horizontal="center" vertical="center" wrapText="1"/>
    </xf>
    <xf numFmtId="175" fontId="0" fillId="0" borderId="0" xfId="0" applyNumberFormat="1"/>
    <xf numFmtId="14" fontId="10" fillId="12" borderId="0" xfId="0" applyNumberFormat="1" applyFont="1" applyFill="1" applyAlignment="1">
      <alignment horizontal="center" vertical="center" wrapText="1"/>
    </xf>
    <xf numFmtId="9" fontId="0" fillId="0" borderId="0" xfId="1" applyFont="1" applyBorder="1"/>
    <xf numFmtId="9" fontId="0" fillId="0" borderId="15" xfId="1" applyFont="1" applyBorder="1"/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2" xfId="0" quotePrefix="1" applyFont="1" applyBorder="1" applyAlignment="1">
      <alignment horizontal="center" vertical="center" wrapText="1"/>
    </xf>
    <xf numFmtId="167" fontId="0" fillId="0" borderId="0" xfId="190" applyNumberFormat="1" applyFont="1" applyAlignment="1">
      <alignment horizontal="center" vertical="center" wrapText="1"/>
    </xf>
    <xf numFmtId="167" fontId="2" fillId="0" borderId="0" xfId="190" applyNumberFormat="1" applyFont="1" applyAlignment="1">
      <alignment horizontal="center" vertical="center" wrapText="1"/>
    </xf>
    <xf numFmtId="43" fontId="2" fillId="0" borderId="0" xfId="190" applyNumberFormat="1" applyFont="1" applyAlignment="1">
      <alignment horizontal="center" vertical="top" wrapText="1"/>
    </xf>
    <xf numFmtId="0" fontId="9" fillId="13" borderId="0" xfId="0" applyFont="1" applyFill="1"/>
    <xf numFmtId="166" fontId="0" fillId="0" borderId="0" xfId="190" applyNumberFormat="1" applyFont="1" applyFill="1" applyAlignment="1">
      <alignment horizontal="center"/>
    </xf>
    <xf numFmtId="0" fontId="0" fillId="2" borderId="0" xfId="0" applyFill="1" applyAlignment="1">
      <alignment horizontal="center"/>
    </xf>
    <xf numFmtId="0" fontId="12" fillId="0" borderId="0" xfId="0" applyFont="1" applyAlignment="1">
      <alignment horizontal="center"/>
    </xf>
    <xf numFmtId="166" fontId="11" fillId="14" borderId="0" xfId="190" applyNumberFormat="1" applyFont="1" applyFill="1" applyAlignment="1">
      <alignment horizontal="center"/>
    </xf>
    <xf numFmtId="0" fontId="9" fillId="15" borderId="0" xfId="0" applyFont="1" applyFill="1"/>
    <xf numFmtId="43" fontId="2" fillId="2" borderId="0" xfId="0" applyNumberFormat="1" applyFont="1" applyFill="1"/>
    <xf numFmtId="0" fontId="9" fillId="16" borderId="0" xfId="0" applyFont="1" applyFill="1"/>
    <xf numFmtId="170" fontId="0" fillId="0" borderId="3" xfId="190" applyNumberFormat="1" applyFont="1" applyFill="1" applyBorder="1"/>
    <xf numFmtId="43" fontId="0" fillId="0" borderId="1" xfId="190" applyNumberFormat="1" applyFont="1" applyFill="1" applyBorder="1"/>
    <xf numFmtId="0" fontId="0" fillId="0" borderId="0" xfId="0" applyAlignment="1">
      <alignment horizontal="left"/>
    </xf>
    <xf numFmtId="10" fontId="0" fillId="0" borderId="0" xfId="1" applyNumberFormat="1" applyFont="1" applyFill="1" applyBorder="1"/>
    <xf numFmtId="169" fontId="2" fillId="0" borderId="0" xfId="190" applyNumberFormat="1" applyFont="1"/>
    <xf numFmtId="43" fontId="0" fillId="6" borderId="0" xfId="0" applyNumberFormat="1" applyFill="1"/>
    <xf numFmtId="177" fontId="4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left"/>
    </xf>
    <xf numFmtId="15" fontId="13" fillId="0" borderId="16" xfId="0" applyNumberFormat="1" applyFont="1" applyBorder="1" applyAlignment="1">
      <alignment horizontal="center"/>
    </xf>
    <xf numFmtId="15" fontId="13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9" fontId="2" fillId="0" borderId="2" xfId="1" applyFont="1" applyBorder="1" applyAlignment="1">
      <alignment horizontal="center" vertical="top" wrapText="1"/>
    </xf>
    <xf numFmtId="0" fontId="0" fillId="0" borderId="0" xfId="0" applyAlignment="1">
      <alignment vertical="top" wrapText="1"/>
    </xf>
    <xf numFmtId="15" fontId="14" fillId="3" borderId="0" xfId="0" applyNumberFormat="1" applyFont="1" applyFill="1" applyAlignment="1">
      <alignment horizontal="center"/>
    </xf>
    <xf numFmtId="174" fontId="4" fillId="0" borderId="17" xfId="3" applyNumberFormat="1" applyFont="1" applyBorder="1" applyAlignment="1">
      <alignment horizontal="center" vertical="center"/>
    </xf>
    <xf numFmtId="172" fontId="4" fillId="0" borderId="17" xfId="1" applyNumberFormat="1" applyFont="1" applyBorder="1" applyAlignment="1">
      <alignment horizontal="center" vertical="center"/>
    </xf>
    <xf numFmtId="165" fontId="4" fillId="0" borderId="17" xfId="3" applyFont="1" applyBorder="1" applyAlignment="1">
      <alignment horizontal="center" vertical="center"/>
    </xf>
    <xf numFmtId="167" fontId="15" fillId="0" borderId="17" xfId="190" applyNumberFormat="1" applyFont="1" applyFill="1" applyBorder="1" applyAlignment="1">
      <alignment horizontal="center" vertical="center"/>
    </xf>
    <xf numFmtId="172" fontId="15" fillId="0" borderId="17" xfId="1" applyNumberFormat="1" applyFont="1" applyFill="1" applyBorder="1" applyAlignment="1">
      <alignment horizontal="center" vertical="center"/>
    </xf>
    <xf numFmtId="179" fontId="4" fillId="0" borderId="17" xfId="3" applyNumberFormat="1" applyFont="1" applyBorder="1" applyAlignment="1">
      <alignment horizontal="center" vertical="center"/>
    </xf>
    <xf numFmtId="165" fontId="4" fillId="3" borderId="17" xfId="3" applyFont="1" applyFill="1" applyBorder="1" applyAlignment="1">
      <alignment horizontal="center" vertical="center"/>
    </xf>
    <xf numFmtId="9" fontId="4" fillId="0" borderId="17" xfId="1" applyFont="1" applyBorder="1" applyAlignment="1">
      <alignment horizontal="center" vertical="center"/>
    </xf>
    <xf numFmtId="180" fontId="4" fillId="0" borderId="17" xfId="3" applyNumberFormat="1" applyFont="1" applyBorder="1" applyAlignment="1">
      <alignment horizontal="center" vertical="center"/>
    </xf>
    <xf numFmtId="167" fontId="4" fillId="0" borderId="17" xfId="190" applyNumberFormat="1" applyFont="1" applyBorder="1" applyAlignment="1">
      <alignment horizontal="center" vertical="center"/>
    </xf>
    <xf numFmtId="43" fontId="0" fillId="11" borderId="0" xfId="190" applyNumberFormat="1" applyFont="1" applyFill="1"/>
    <xf numFmtId="4" fontId="9" fillId="17" borderId="0" xfId="0" applyNumberFormat="1" applyFont="1" applyFill="1" applyAlignment="1">
      <alignment horizontal="center" vertical="center"/>
    </xf>
    <xf numFmtId="0" fontId="16" fillId="0" borderId="19" xfId="0" applyFont="1" applyBorder="1"/>
    <xf numFmtId="166" fontId="16" fillId="0" borderId="19" xfId="0" applyNumberFormat="1" applyFont="1" applyBorder="1" applyAlignment="1">
      <alignment horizontal="center"/>
    </xf>
    <xf numFmtId="166" fontId="16" fillId="0" borderId="18" xfId="0" applyNumberFormat="1" applyFont="1" applyBorder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right"/>
    </xf>
    <xf numFmtId="43" fontId="0" fillId="5" borderId="0" xfId="0" applyNumberFormat="1" applyFill="1"/>
    <xf numFmtId="0" fontId="0" fillId="0" borderId="38" xfId="0" applyBorder="1"/>
    <xf numFmtId="0" fontId="2" fillId="0" borderId="14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4" fontId="0" fillId="0" borderId="19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4" xfId="0" applyBorder="1" applyAlignment="1">
      <alignment horizontal="center"/>
    </xf>
    <xf numFmtId="0" fontId="84" fillId="0" borderId="0" xfId="0" applyFont="1"/>
    <xf numFmtId="14" fontId="84" fillId="0" borderId="39" xfId="0" applyNumberFormat="1" applyFont="1" applyBorder="1" applyAlignment="1">
      <alignment horizontal="center"/>
    </xf>
    <xf numFmtId="4" fontId="84" fillId="0" borderId="39" xfId="0" applyNumberFormat="1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4" fontId="0" fillId="0" borderId="0" xfId="0" applyNumberFormat="1" applyAlignment="1">
      <alignment horizontal="center"/>
    </xf>
    <xf numFmtId="4" fontId="0" fillId="0" borderId="0" xfId="0" applyNumberFormat="1"/>
    <xf numFmtId="1" fontId="0" fillId="0" borderId="0" xfId="0" applyNumberFormat="1" applyAlignment="1">
      <alignment horizontal="center"/>
    </xf>
    <xf numFmtId="4" fontId="2" fillId="0" borderId="15" xfId="0" applyNumberFormat="1" applyFont="1" applyBorder="1" applyAlignment="1">
      <alignment horizontal="center"/>
    </xf>
    <xf numFmtId="168" fontId="0" fillId="10" borderId="0" xfId="190" applyNumberFormat="1" applyFont="1" applyFill="1"/>
    <xf numFmtId="181" fontId="8" fillId="3" borderId="0" xfId="0" applyNumberFormat="1" applyFont="1" applyFill="1"/>
    <xf numFmtId="181" fontId="8" fillId="3" borderId="0" xfId="190" applyNumberFormat="1" applyFont="1" applyFill="1"/>
    <xf numFmtId="181" fontId="0" fillId="6" borderId="0" xfId="190" applyNumberFormat="1" applyFont="1" applyFill="1"/>
    <xf numFmtId="11" fontId="84" fillId="0" borderId="0" xfId="0" applyNumberFormat="1" applyFont="1"/>
    <xf numFmtId="0" fontId="2" fillId="0" borderId="1" xfId="0" applyFont="1" applyBorder="1"/>
    <xf numFmtId="0" fontId="2" fillId="0" borderId="38" xfId="0" applyFont="1" applyBorder="1" applyAlignment="1">
      <alignment horizontal="left" vertical="top"/>
    </xf>
    <xf numFmtId="0" fontId="0" fillId="0" borderId="19" xfId="0" applyBorder="1" applyAlignment="1">
      <alignment horizontal="center"/>
    </xf>
    <xf numFmtId="0" fontId="85" fillId="82" borderId="39" xfId="0" applyFont="1" applyFill="1" applyBorder="1" applyAlignment="1">
      <alignment horizontal="center"/>
    </xf>
    <xf numFmtId="0" fontId="85" fillId="16" borderId="39" xfId="0" applyFont="1" applyFill="1" applyBorder="1" applyAlignment="1">
      <alignment horizontal="center"/>
    </xf>
    <xf numFmtId="170" fontId="0" fillId="0" borderId="0" xfId="190" applyNumberFormat="1" applyFont="1" applyFill="1" applyBorder="1"/>
    <xf numFmtId="166" fontId="2" fillId="0" borderId="15" xfId="190" applyNumberFormat="1" applyFont="1" applyBorder="1" applyAlignment="1">
      <alignment horizontal="center"/>
    </xf>
    <xf numFmtId="166" fontId="0" fillId="0" borderId="0" xfId="190" applyNumberFormat="1" applyFont="1" applyAlignment="1">
      <alignment horizontal="center"/>
    </xf>
    <xf numFmtId="166" fontId="2" fillId="0" borderId="0" xfId="190" applyNumberFormat="1" applyFont="1" applyAlignment="1">
      <alignment horizontal="center"/>
    </xf>
    <xf numFmtId="172" fontId="0" fillId="4" borderId="0" xfId="0" applyNumberFormat="1" applyFill="1"/>
    <xf numFmtId="14" fontId="0" fillId="2" borderId="19" xfId="0" applyNumberFormat="1" applyFill="1" applyBorder="1" applyAlignment="1">
      <alignment horizontal="center"/>
    </xf>
    <xf numFmtId="167" fontId="6" fillId="6" borderId="0" xfId="0" applyNumberFormat="1" applyFont="1" applyFill="1"/>
    <xf numFmtId="165" fontId="0" fillId="0" borderId="0" xfId="0" applyNumberFormat="1"/>
    <xf numFmtId="3" fontId="0" fillId="0" borderId="0" xfId="0" applyNumberFormat="1" applyAlignment="1">
      <alignment horizontal="center"/>
    </xf>
    <xf numFmtId="10" fontId="14" fillId="3" borderId="0" xfId="1" applyNumberFormat="1" applyFont="1" applyFill="1" applyAlignment="1">
      <alignment horizontal="center"/>
    </xf>
    <xf numFmtId="15" fontId="87" fillId="3" borderId="0" xfId="0" applyNumberFormat="1" applyFont="1" applyFill="1" applyAlignment="1">
      <alignment horizontal="center"/>
    </xf>
    <xf numFmtId="10" fontId="87" fillId="3" borderId="0" xfId="1" applyNumberFormat="1" applyFont="1" applyFill="1" applyAlignment="1">
      <alignment horizontal="center"/>
    </xf>
    <xf numFmtId="174" fontId="88" fillId="0" borderId="17" xfId="3" applyNumberFormat="1" applyFont="1" applyBorder="1" applyAlignment="1">
      <alignment horizontal="center" vertical="center"/>
    </xf>
    <xf numFmtId="172" fontId="88" fillId="0" borderId="17" xfId="1" applyNumberFormat="1" applyFont="1" applyBorder="1" applyAlignment="1">
      <alignment horizontal="center" vertical="center"/>
    </xf>
    <xf numFmtId="165" fontId="88" fillId="0" borderId="17" xfId="3" applyFont="1" applyBorder="1" applyAlignment="1">
      <alignment horizontal="center" vertical="center"/>
    </xf>
    <xf numFmtId="167" fontId="3" fillId="0" borderId="17" xfId="190" applyNumberFormat="1" applyFont="1" applyFill="1" applyBorder="1" applyAlignment="1">
      <alignment horizontal="center" vertical="center"/>
    </xf>
    <xf numFmtId="172" fontId="3" fillId="0" borderId="17" xfId="1" applyNumberFormat="1" applyFont="1" applyFill="1" applyBorder="1" applyAlignment="1">
      <alignment horizontal="center" vertical="center"/>
    </xf>
    <xf numFmtId="179" fontId="88" fillId="0" borderId="17" xfId="3" applyNumberFormat="1" applyFont="1" applyBorder="1" applyAlignment="1">
      <alignment horizontal="center" vertical="center"/>
    </xf>
    <xf numFmtId="165" fontId="88" fillId="3" borderId="17" xfId="3" applyFont="1" applyFill="1" applyBorder="1" applyAlignment="1">
      <alignment horizontal="center" vertical="center"/>
    </xf>
    <xf numFmtId="9" fontId="88" fillId="0" borderId="17" xfId="1" applyFont="1" applyBorder="1" applyAlignment="1">
      <alignment horizontal="center" vertical="center"/>
    </xf>
    <xf numFmtId="180" fontId="88" fillId="0" borderId="17" xfId="3" applyNumberFormat="1" applyFont="1" applyBorder="1" applyAlignment="1">
      <alignment horizontal="center" vertical="center"/>
    </xf>
    <xf numFmtId="167" fontId="88" fillId="0" borderId="17" xfId="190" applyNumberFormat="1" applyFont="1" applyBorder="1" applyAlignment="1">
      <alignment horizontal="center" vertical="center"/>
    </xf>
    <xf numFmtId="15" fontId="14" fillId="0" borderId="0" xfId="0" applyNumberFormat="1" applyFont="1" applyAlignment="1">
      <alignment horizontal="center"/>
    </xf>
    <xf numFmtId="10" fontId="14" fillId="0" borderId="0" xfId="1" applyNumberFormat="1" applyFont="1" applyFill="1" applyAlignment="1">
      <alignment horizontal="center"/>
    </xf>
    <xf numFmtId="174" fontId="4" fillId="0" borderId="17" xfId="3" applyNumberFormat="1" applyFont="1" applyFill="1" applyBorder="1" applyAlignment="1">
      <alignment horizontal="center" vertical="center"/>
    </xf>
    <xf numFmtId="172" fontId="4" fillId="0" borderId="17" xfId="1" applyNumberFormat="1" applyFont="1" applyFill="1" applyBorder="1" applyAlignment="1">
      <alignment horizontal="center" vertical="center"/>
    </xf>
    <xf numFmtId="165" fontId="4" fillId="0" borderId="17" xfId="3" applyFont="1" applyFill="1" applyBorder="1" applyAlignment="1">
      <alignment horizontal="center" vertical="center"/>
    </xf>
    <xf numFmtId="179" fontId="4" fillId="0" borderId="17" xfId="3" applyNumberFormat="1" applyFont="1" applyFill="1" applyBorder="1" applyAlignment="1">
      <alignment horizontal="center" vertical="center"/>
    </xf>
    <xf numFmtId="9" fontId="4" fillId="0" borderId="17" xfId="1" applyFont="1" applyFill="1" applyBorder="1" applyAlignment="1">
      <alignment horizontal="center" vertical="center"/>
    </xf>
    <xf numFmtId="180" fontId="4" fillId="0" borderId="17" xfId="3" applyNumberFormat="1" applyFont="1" applyFill="1" applyBorder="1" applyAlignment="1">
      <alignment horizontal="center" vertical="center"/>
    </xf>
    <xf numFmtId="167" fontId="4" fillId="0" borderId="17" xfId="190" applyNumberFormat="1" applyFont="1" applyFill="1" applyBorder="1" applyAlignment="1">
      <alignment horizontal="center" vertical="center"/>
    </xf>
    <xf numFmtId="10" fontId="87" fillId="2" borderId="0" xfId="1" applyNumberFormat="1" applyFont="1" applyFill="1" applyAlignment="1">
      <alignment horizontal="center"/>
    </xf>
    <xf numFmtId="15" fontId="87" fillId="0" borderId="0" xfId="0" applyNumberFormat="1" applyFont="1" applyAlignment="1">
      <alignment horizontal="center"/>
    </xf>
    <xf numFmtId="10" fontId="2" fillId="0" borderId="0" xfId="0" applyNumberFormat="1" applyFont="1" applyAlignment="1">
      <alignment horizontal="center"/>
    </xf>
    <xf numFmtId="170" fontId="0" fillId="0" borderId="0" xfId="1" applyNumberFormat="1" applyFont="1" applyFill="1"/>
    <xf numFmtId="3" fontId="0" fillId="0" borderId="0" xfId="190" applyNumberFormat="1" applyFont="1"/>
    <xf numFmtId="193" fontId="0" fillId="0" borderId="0" xfId="190" applyNumberFormat="1" applyFont="1"/>
    <xf numFmtId="4" fontId="0" fillId="5" borderId="0" xfId="190" applyFont="1" applyFill="1" applyAlignment="1">
      <alignment horizontal="right"/>
    </xf>
    <xf numFmtId="4" fontId="0" fillId="0" borderId="0" xfId="190" applyFont="1" applyFill="1" applyAlignment="1">
      <alignment horizontal="right"/>
    </xf>
    <xf numFmtId="4" fontId="2" fillId="0" borderId="0" xfId="190" applyFont="1" applyAlignment="1">
      <alignment horizontal="right" vertical="top" wrapText="1"/>
    </xf>
    <xf numFmtId="4" fontId="1" fillId="4" borderId="0" xfId="190" applyFont="1" applyFill="1" applyAlignment="1">
      <alignment horizontal="right"/>
    </xf>
    <xf numFmtId="4" fontId="1" fillId="0" borderId="0" xfId="190" applyFont="1" applyFill="1" applyAlignment="1">
      <alignment horizontal="right"/>
    </xf>
    <xf numFmtId="4" fontId="0" fillId="0" borderId="0" xfId="190" applyFont="1" applyAlignment="1">
      <alignment horizontal="right"/>
    </xf>
    <xf numFmtId="0" fontId="2" fillId="0" borderId="15" xfId="0" applyFont="1" applyBorder="1" applyAlignment="1">
      <alignment horizontal="left"/>
    </xf>
    <xf numFmtId="4" fontId="0" fillId="0" borderId="0" xfId="190" applyFont="1"/>
    <xf numFmtId="4" fontId="0" fillId="0" borderId="0" xfId="190" applyFont="1" applyFill="1"/>
    <xf numFmtId="194" fontId="0" fillId="0" borderId="0" xfId="0" applyNumberFormat="1"/>
    <xf numFmtId="172" fontId="0" fillId="0" borderId="0" xfId="1" applyNumberFormat="1" applyFont="1" applyBorder="1"/>
    <xf numFmtId="195" fontId="0" fillId="0" borderId="0" xfId="190" applyNumberFormat="1" applyFont="1"/>
    <xf numFmtId="4" fontId="6" fillId="6" borderId="0" xfId="190" applyFont="1" applyFill="1"/>
    <xf numFmtId="0" fontId="89" fillId="0" borderId="0" xfId="0" applyFont="1" applyAlignment="1">
      <alignment horizontal="left"/>
    </xf>
    <xf numFmtId="172" fontId="89" fillId="0" borderId="0" xfId="1" applyNumberFormat="1" applyFont="1" applyFill="1"/>
    <xf numFmtId="10" fontId="89" fillId="0" borderId="0" xfId="1" applyNumberFormat="1" applyFont="1" applyFill="1"/>
    <xf numFmtId="43" fontId="89" fillId="0" borderId="0" xfId="190" applyNumberFormat="1" applyFont="1"/>
    <xf numFmtId="0" fontId="89" fillId="0" borderId="0" xfId="0" applyFont="1"/>
    <xf numFmtId="169" fontId="89" fillId="0" borderId="0" xfId="0" applyNumberFormat="1" applyFont="1"/>
    <xf numFmtId="170" fontId="90" fillId="0" borderId="0" xfId="190" applyNumberFormat="1" applyFont="1"/>
    <xf numFmtId="0" fontId="90" fillId="0" borderId="0" xfId="0" applyFont="1" applyAlignment="1">
      <alignment horizontal="left"/>
    </xf>
    <xf numFmtId="10" fontId="90" fillId="0" borderId="0" xfId="1" applyNumberFormat="1" applyFont="1" applyFill="1"/>
    <xf numFmtId="10" fontId="89" fillId="0" borderId="0" xfId="1" applyNumberFormat="1" applyFont="1"/>
    <xf numFmtId="172" fontId="90" fillId="8" borderId="2" xfId="1" applyNumberFormat="1" applyFont="1" applyFill="1" applyBorder="1" applyAlignment="1">
      <alignment horizontal="left"/>
    </xf>
    <xf numFmtId="172" fontId="90" fillId="8" borderId="2" xfId="1" applyNumberFormat="1" applyFont="1" applyFill="1" applyBorder="1"/>
    <xf numFmtId="10" fontId="90" fillId="8" borderId="2" xfId="1" applyNumberFormat="1" applyFont="1" applyFill="1" applyBorder="1"/>
    <xf numFmtId="10" fontId="90" fillId="8" borderId="2" xfId="1" applyNumberFormat="1" applyFont="1" applyFill="1" applyBorder="1" applyAlignment="1">
      <alignment horizontal="center"/>
    </xf>
    <xf numFmtId="10" fontId="90" fillId="8" borderId="0" xfId="1" applyNumberFormat="1" applyFont="1" applyFill="1" applyBorder="1"/>
    <xf numFmtId="172" fontId="89" fillId="0" borderId="0" xfId="1" applyNumberFormat="1" applyFont="1" applyFill="1" applyAlignment="1">
      <alignment horizontal="left"/>
    </xf>
    <xf numFmtId="170" fontId="89" fillId="0" borderId="0" xfId="0" applyNumberFormat="1" applyFont="1" applyAlignment="1">
      <alignment wrapText="1"/>
    </xf>
    <xf numFmtId="172" fontId="90" fillId="3" borderId="0" xfId="1" applyNumberFormat="1" applyFont="1" applyFill="1" applyAlignment="1">
      <alignment horizontal="left"/>
    </xf>
    <xf numFmtId="172" fontId="90" fillId="3" borderId="0" xfId="1" applyNumberFormat="1" applyFont="1" applyFill="1"/>
    <xf numFmtId="170" fontId="90" fillId="3" borderId="0" xfId="0" applyNumberFormat="1" applyFont="1" applyFill="1" applyAlignment="1">
      <alignment wrapText="1"/>
    </xf>
    <xf numFmtId="10" fontId="90" fillId="3" borderId="0" xfId="1" applyNumberFormat="1" applyFont="1" applyFill="1"/>
    <xf numFmtId="10" fontId="90" fillId="0" borderId="0" xfId="1" applyNumberFormat="1" applyFont="1"/>
    <xf numFmtId="0" fontId="90" fillId="0" borderId="0" xfId="0" applyFont="1"/>
    <xf numFmtId="169" fontId="90" fillId="0" borderId="0" xfId="0" applyNumberFormat="1" applyFont="1"/>
    <xf numFmtId="172" fontId="90" fillId="0" borderId="0" xfId="1" applyNumberFormat="1" applyFont="1" applyFill="1" applyAlignment="1">
      <alignment horizontal="left"/>
    </xf>
    <xf numFmtId="172" fontId="90" fillId="0" borderId="0" xfId="1" applyNumberFormat="1" applyFont="1" applyFill="1"/>
    <xf numFmtId="168" fontId="90" fillId="0" borderId="0" xfId="190" applyNumberFormat="1" applyFont="1" applyFill="1"/>
    <xf numFmtId="172" fontId="90" fillId="0" borderId="4" xfId="1" applyNumberFormat="1" applyFont="1" applyFill="1" applyBorder="1" applyAlignment="1">
      <alignment horizontal="left"/>
    </xf>
    <xf numFmtId="172" fontId="90" fillId="0" borderId="4" xfId="1" applyNumberFormat="1" applyFont="1" applyFill="1" applyBorder="1"/>
    <xf numFmtId="168" fontId="90" fillId="0" borderId="4" xfId="190" applyNumberFormat="1" applyFont="1" applyFill="1" applyBorder="1"/>
    <xf numFmtId="10" fontId="90" fillId="0" borderId="4" xfId="1" applyNumberFormat="1" applyFont="1" applyFill="1" applyBorder="1"/>
    <xf numFmtId="10" fontId="90" fillId="0" borderId="0" xfId="1" applyNumberFormat="1" applyFont="1" applyFill="1" applyBorder="1"/>
    <xf numFmtId="14" fontId="90" fillId="0" borderId="0" xfId="0" applyNumberFormat="1" applyFont="1" applyAlignment="1">
      <alignment horizontal="left"/>
    </xf>
    <xf numFmtId="172" fontId="89" fillId="0" borderId="0" xfId="0" applyNumberFormat="1" applyFont="1" applyAlignment="1">
      <alignment horizontal="center" vertical="center" wrapText="1"/>
    </xf>
    <xf numFmtId="10" fontId="89" fillId="0" borderId="0" xfId="0" applyNumberFormat="1" applyFont="1"/>
    <xf numFmtId="0" fontId="91" fillId="0" borderId="0" xfId="0" applyFont="1"/>
    <xf numFmtId="169" fontId="90" fillId="0" borderId="0" xfId="190" applyNumberFormat="1" applyFont="1"/>
    <xf numFmtId="170" fontId="90" fillId="2" borderId="0" xfId="190" applyNumberFormat="1" applyFont="1" applyFill="1"/>
    <xf numFmtId="168" fontId="89" fillId="0" borderId="0" xfId="190" applyNumberFormat="1" applyFont="1" applyFill="1"/>
    <xf numFmtId="0" fontId="0" fillId="12" borderId="0" xfId="0" applyFill="1"/>
    <xf numFmtId="4" fontId="0" fillId="4" borderId="0" xfId="190" applyFont="1" applyFill="1"/>
    <xf numFmtId="195" fontId="0" fillId="4" borderId="0" xfId="190" applyNumberFormat="1" applyFont="1" applyFill="1"/>
    <xf numFmtId="195" fontId="0" fillId="0" borderId="0" xfId="190" applyNumberFormat="1" applyFont="1" applyFill="1"/>
    <xf numFmtId="4" fontId="0" fillId="5" borderId="0" xfId="190" applyFont="1" applyFill="1"/>
    <xf numFmtId="4" fontId="2" fillId="0" borderId="0" xfId="190" applyFont="1" applyAlignment="1">
      <alignment horizontal="center" vertical="top" wrapText="1"/>
    </xf>
    <xf numFmtId="4" fontId="0" fillId="2" borderId="0" xfId="0" applyNumberFormat="1" applyFill="1" applyAlignment="1">
      <alignment horizontal="center"/>
    </xf>
    <xf numFmtId="0" fontId="93" fillId="0" borderId="0" xfId="0" applyFont="1"/>
    <xf numFmtId="14" fontId="92" fillId="0" borderId="0" xfId="0" applyNumberFormat="1" applyFont="1"/>
    <xf numFmtId="0" fontId="92" fillId="0" borderId="0" xfId="0" applyFont="1"/>
    <xf numFmtId="3" fontId="92" fillId="0" borderId="0" xfId="0" applyNumberFormat="1" applyFont="1"/>
    <xf numFmtId="180" fontId="0" fillId="0" borderId="0" xfId="0" applyNumberFormat="1"/>
    <xf numFmtId="180" fontId="0" fillId="5" borderId="0" xfId="0" applyNumberFormat="1" applyFill="1"/>
    <xf numFmtId="180" fontId="2" fillId="0" borderId="0" xfId="0" applyNumberFormat="1" applyFont="1" applyAlignment="1">
      <alignment horizontal="center" vertical="top" wrapText="1"/>
    </xf>
    <xf numFmtId="4" fontId="28" fillId="4" borderId="0" xfId="190" applyFont="1" applyFill="1"/>
    <xf numFmtId="3" fontId="0" fillId="0" borderId="0" xfId="190" applyNumberFormat="1" applyFont="1" applyFill="1"/>
    <xf numFmtId="4" fontId="0" fillId="2" borderId="0" xfId="190" applyFont="1" applyFill="1"/>
    <xf numFmtId="197" fontId="0" fillId="0" borderId="0" xfId="0" applyNumberFormat="1"/>
    <xf numFmtId="0" fontId="0" fillId="83" borderId="0" xfId="0" applyFill="1"/>
    <xf numFmtId="10" fontId="0" fillId="83" borderId="0" xfId="0" applyNumberFormat="1" applyFill="1"/>
    <xf numFmtId="170" fontId="0" fillId="83" borderId="0" xfId="190" applyNumberFormat="1" applyFont="1" applyFill="1"/>
    <xf numFmtId="10" fontId="2" fillId="84" borderId="0" xfId="0" applyNumberFormat="1" applyFont="1" applyFill="1"/>
    <xf numFmtId="170" fontId="2" fillId="84" borderId="0" xfId="190" applyNumberFormat="1" applyFont="1" applyFill="1"/>
    <xf numFmtId="10" fontId="1" fillId="84" borderId="2" xfId="1" applyNumberFormat="1" applyFont="1" applyFill="1" applyBorder="1"/>
    <xf numFmtId="170" fontId="1" fillId="84" borderId="3" xfId="190" applyNumberFormat="1" applyFont="1" applyFill="1" applyBorder="1"/>
    <xf numFmtId="2" fontId="0" fillId="4" borderId="0" xfId="0" applyNumberFormat="1" applyFill="1"/>
    <xf numFmtId="10" fontId="0" fillId="85" borderId="0" xfId="1" applyNumberFormat="1" applyFont="1" applyFill="1"/>
    <xf numFmtId="166" fontId="0" fillId="11" borderId="0" xfId="190" applyNumberFormat="1" applyFont="1" applyFill="1"/>
    <xf numFmtId="194" fontId="0" fillId="2" borderId="0" xfId="0" applyNumberFormat="1" applyFill="1"/>
    <xf numFmtId="9" fontId="0" fillId="0" borderId="0" xfId="1" applyFont="1" applyFill="1"/>
    <xf numFmtId="9" fontId="2" fillId="0" borderId="0" xfId="1" applyFont="1" applyFill="1" applyAlignment="1">
      <alignment horizontal="center" vertical="top" wrapText="1"/>
    </xf>
    <xf numFmtId="9" fontId="0" fillId="4" borderId="0" xfId="1" applyFont="1" applyFill="1"/>
    <xf numFmtId="172" fontId="0" fillId="86" borderId="0" xfId="1" applyNumberFormat="1" applyFont="1" applyFill="1"/>
    <xf numFmtId="169" fontId="0" fillId="4" borderId="0" xfId="190" applyNumberFormat="1" applyFont="1" applyFill="1"/>
    <xf numFmtId="169" fontId="0" fillId="0" borderId="0" xfId="190" applyNumberFormat="1" applyFont="1" applyFill="1"/>
    <xf numFmtId="4" fontId="28" fillId="0" borderId="0" xfId="190" applyFont="1" applyFill="1"/>
    <xf numFmtId="198" fontId="0" fillId="0" borderId="0" xfId="1" applyNumberFormat="1" applyFont="1" applyFill="1"/>
    <xf numFmtId="9" fontId="0" fillId="3" borderId="0" xfId="0" applyNumberFormat="1" applyFill="1"/>
    <xf numFmtId="172" fontId="0" fillId="3" borderId="0" xfId="0" applyNumberFormat="1" applyFill="1"/>
    <xf numFmtId="172" fontId="0" fillId="9" borderId="0" xfId="1" applyNumberFormat="1" applyFont="1" applyFill="1"/>
    <xf numFmtId="9" fontId="0" fillId="0" borderId="0" xfId="1" applyFont="1" applyAlignment="1">
      <alignment horizontal="center"/>
    </xf>
    <xf numFmtId="0" fontId="84" fillId="0" borderId="0" xfId="0" applyFont="1" applyAlignment="1">
      <alignment horizontal="center"/>
    </xf>
    <xf numFmtId="170" fontId="0" fillId="3" borderId="0" xfId="190" applyNumberFormat="1" applyFont="1" applyFill="1"/>
    <xf numFmtId="10" fontId="89" fillId="0" borderId="0" xfId="0" applyNumberFormat="1" applyFont="1" applyAlignment="1">
      <alignment horizontal="center" vertical="center" wrapText="1"/>
    </xf>
    <xf numFmtId="0" fontId="89" fillId="0" borderId="0" xfId="0" applyFont="1" applyAlignment="1">
      <alignment horizontal="center" vertical="center" wrapText="1"/>
    </xf>
    <xf numFmtId="10" fontId="89" fillId="0" borderId="0" xfId="1" applyNumberFormat="1" applyFont="1" applyAlignment="1">
      <alignment horizontal="center" vertical="center" wrapText="1"/>
    </xf>
    <xf numFmtId="170" fontId="90" fillId="0" borderId="0" xfId="190" applyNumberFormat="1" applyFont="1" applyAlignment="1">
      <alignment horizontal="center" vertical="center" wrapText="1"/>
    </xf>
    <xf numFmtId="4" fontId="0" fillId="10" borderId="0" xfId="190" applyFont="1" applyFill="1"/>
    <xf numFmtId="173" fontId="0" fillId="10" borderId="0" xfId="1" applyNumberFormat="1" applyFont="1" applyFill="1"/>
    <xf numFmtId="14" fontId="84" fillId="0" borderId="0" xfId="0" applyNumberFormat="1" applyFont="1"/>
    <xf numFmtId="172" fontId="94" fillId="0" borderId="0" xfId="0" applyNumberFormat="1" applyFont="1"/>
    <xf numFmtId="10" fontId="94" fillId="0" borderId="0" xfId="0" applyNumberFormat="1" applyFont="1"/>
    <xf numFmtId="0" fontId="94" fillId="0" borderId="0" xfId="0" applyFont="1" applyAlignment="1">
      <alignment horizontal="left" indent="1"/>
    </xf>
    <xf numFmtId="170" fontId="94" fillId="0" borderId="0" xfId="0" applyNumberFormat="1" applyFont="1"/>
    <xf numFmtId="3" fontId="0" fillId="0" borderId="0" xfId="190" applyNumberFormat="1" applyFont="1" applyFill="1" applyAlignment="1">
      <alignment horizontal="center"/>
    </xf>
    <xf numFmtId="0" fontId="90" fillId="0" borderId="40" xfId="0" applyFont="1" applyBorder="1" applyAlignment="1">
      <alignment horizontal="left"/>
    </xf>
    <xf numFmtId="172" fontId="90" fillId="0" borderId="40" xfId="0" applyNumberFormat="1" applyFont="1" applyBorder="1"/>
    <xf numFmtId="170" fontId="90" fillId="0" borderId="40" xfId="0" applyNumberFormat="1" applyFont="1" applyBorder="1"/>
    <xf numFmtId="10" fontId="90" fillId="0" borderId="40" xfId="0" applyNumberFormat="1" applyFont="1" applyBorder="1"/>
    <xf numFmtId="0" fontId="90" fillId="87" borderId="41" xfId="0" applyFont="1" applyFill="1" applyBorder="1" applyAlignment="1">
      <alignment horizontal="left"/>
    </xf>
    <xf numFmtId="172" fontId="90" fillId="87" borderId="41" xfId="0" applyNumberFormat="1" applyFont="1" applyFill="1" applyBorder="1"/>
    <xf numFmtId="170" fontId="90" fillId="87" borderId="41" xfId="0" applyNumberFormat="1" applyFont="1" applyFill="1" applyBorder="1"/>
    <xf numFmtId="10" fontId="90" fillId="87" borderId="41" xfId="0" applyNumberFormat="1" applyFont="1" applyFill="1" applyBorder="1"/>
    <xf numFmtId="0" fontId="0" fillId="10" borderId="0" xfId="0" applyFill="1"/>
    <xf numFmtId="3" fontId="2" fillId="0" borderId="0" xfId="190" applyNumberFormat="1" applyFont="1" applyFill="1" applyAlignment="1">
      <alignment horizontal="center" vertical="top" wrapText="1"/>
    </xf>
    <xf numFmtId="17" fontId="0" fillId="0" borderId="0" xfId="0" applyNumberFormat="1"/>
    <xf numFmtId="195" fontId="0" fillId="14" borderId="0" xfId="190" applyNumberFormat="1" applyFont="1" applyFill="1"/>
    <xf numFmtId="0" fontId="2" fillId="14" borderId="4" xfId="0" applyFont="1" applyFill="1" applyBorder="1" applyAlignment="1">
      <alignment horizontal="center" vertical="top" wrapText="1"/>
    </xf>
    <xf numFmtId="182" fontId="0" fillId="14" borderId="0" xfId="0" applyNumberFormat="1" applyFill="1"/>
    <xf numFmtId="16" fontId="2" fillId="0" borderId="0" xfId="0" applyNumberFormat="1" applyFont="1"/>
    <xf numFmtId="165" fontId="0" fillId="2" borderId="0" xfId="4419" applyFont="1" applyFill="1"/>
    <xf numFmtId="172" fontId="0" fillId="0" borderId="0" xfId="4420" applyNumberFormat="1" applyFont="1"/>
    <xf numFmtId="10" fontId="2" fillId="0" borderId="0" xfId="4420" applyNumberFormat="1" applyFont="1"/>
    <xf numFmtId="10" fontId="0" fillId="0" borderId="0" xfId="4420" applyNumberFormat="1" applyFont="1"/>
    <xf numFmtId="10" fontId="104" fillId="0" borderId="0" xfId="0" applyNumberFormat="1" applyFont="1"/>
    <xf numFmtId="2" fontId="96" fillId="0" borderId="0" xfId="0" applyNumberFormat="1" applyFont="1"/>
    <xf numFmtId="172" fontId="96" fillId="0" borderId="0" xfId="4420" applyNumberFormat="1" applyFont="1"/>
    <xf numFmtId="168" fontId="0" fillId="0" borderId="0" xfId="4419" applyNumberFormat="1" applyFont="1"/>
    <xf numFmtId="0" fontId="104" fillId="0" borderId="0" xfId="0" applyFont="1"/>
    <xf numFmtId="173" fontId="0" fillId="0" borderId="0" xfId="4420" applyNumberFormat="1" applyFont="1"/>
    <xf numFmtId="179" fontId="0" fillId="0" borderId="0" xfId="0" applyNumberFormat="1"/>
    <xf numFmtId="179" fontId="0" fillId="0" borderId="0" xfId="4419" applyNumberFormat="1" applyFont="1"/>
    <xf numFmtId="165" fontId="0" fillId="0" borderId="0" xfId="4419" applyFont="1"/>
    <xf numFmtId="166" fontId="0" fillId="2" borderId="0" xfId="190" applyNumberFormat="1" applyFont="1" applyFill="1"/>
    <xf numFmtId="43" fontId="86" fillId="2" borderId="0" xfId="190" applyNumberFormat="1" applyFont="1" applyFill="1"/>
    <xf numFmtId="43" fontId="86" fillId="11" borderId="0" xfId="190" applyNumberFormat="1" applyFont="1" applyFill="1"/>
    <xf numFmtId="3" fontId="86" fillId="2" borderId="0" xfId="190" applyNumberFormat="1" applyFont="1" applyFill="1"/>
    <xf numFmtId="3" fontId="0" fillId="0" borderId="0" xfId="0" applyNumberFormat="1"/>
    <xf numFmtId="4" fontId="86" fillId="4" borderId="0" xfId="190" applyFont="1" applyFill="1"/>
    <xf numFmtId="4" fontId="86" fillId="0" borderId="0" xfId="190" applyFont="1" applyFill="1"/>
    <xf numFmtId="4" fontId="86" fillId="2" borderId="0" xfId="190" applyFont="1" applyFill="1"/>
    <xf numFmtId="10" fontId="0" fillId="10" borderId="0" xfId="1" applyNumberFormat="1" applyFont="1" applyFill="1"/>
    <xf numFmtId="43" fontId="0" fillId="0" borderId="0" xfId="190" quotePrefix="1" applyNumberFormat="1" applyFont="1" applyFill="1"/>
    <xf numFmtId="2" fontId="0" fillId="0" borderId="0" xfId="0" applyNumberFormat="1"/>
    <xf numFmtId="169" fontId="0" fillId="0" borderId="0" xfId="0" applyNumberFormat="1"/>
    <xf numFmtId="198" fontId="8" fillId="3" borderId="0" xfId="1" applyNumberFormat="1" applyFont="1" applyFill="1"/>
    <xf numFmtId="168" fontId="2" fillId="0" borderId="4" xfId="190" applyNumberFormat="1" applyFont="1" applyFill="1" applyBorder="1" applyAlignment="1">
      <alignment horizontal="center" vertical="top" wrapText="1"/>
    </xf>
    <xf numFmtId="0" fontId="2" fillId="0" borderId="5" xfId="0" applyFont="1" applyBorder="1" applyAlignment="1">
      <alignment horizontal="center" vertical="top" wrapText="1"/>
    </xf>
    <xf numFmtId="43" fontId="2" fillId="0" borderId="4" xfId="190" applyNumberFormat="1" applyFont="1" applyFill="1" applyBorder="1" applyAlignment="1">
      <alignment horizontal="center" vertical="top" wrapText="1"/>
    </xf>
    <xf numFmtId="43" fontId="2" fillId="0" borderId="5" xfId="190" applyNumberFormat="1" applyFont="1" applyFill="1" applyBorder="1" applyAlignment="1">
      <alignment horizontal="center" vertical="top" wrapText="1"/>
    </xf>
    <xf numFmtId="10" fontId="2" fillId="0" borderId="4" xfId="1" applyNumberFormat="1" applyFont="1" applyFill="1" applyBorder="1" applyAlignment="1">
      <alignment horizontal="center" vertical="top" wrapText="1"/>
    </xf>
    <xf numFmtId="173" fontId="2" fillId="0" borderId="4" xfId="1" applyNumberFormat="1" applyFont="1" applyFill="1" applyBorder="1" applyAlignment="1">
      <alignment horizontal="center" vertical="top" wrapText="1"/>
    </xf>
    <xf numFmtId="172" fontId="0" fillId="2" borderId="0" xfId="1" applyNumberFormat="1" applyFont="1" applyFill="1"/>
    <xf numFmtId="9" fontId="0" fillId="2" borderId="0" xfId="1" applyFont="1" applyFill="1"/>
    <xf numFmtId="195" fontId="0" fillId="2" borderId="0" xfId="190" applyNumberFormat="1" applyFont="1" applyFill="1"/>
    <xf numFmtId="171" fontId="0" fillId="0" borderId="0" xfId="190" applyNumberFormat="1" applyFont="1" applyFill="1"/>
    <xf numFmtId="171" fontId="0" fillId="4" borderId="0" xfId="190" applyNumberFormat="1" applyFont="1" applyFill="1"/>
    <xf numFmtId="166" fontId="6" fillId="6" borderId="0" xfId="0" applyNumberFormat="1" applyFont="1" applyFill="1"/>
    <xf numFmtId="0" fontId="90" fillId="91" borderId="0" xfId="0" applyFont="1" applyFill="1" applyAlignment="1">
      <alignment horizontal="left" indent="1"/>
    </xf>
    <xf numFmtId="43" fontId="0" fillId="0" borderId="19" xfId="190" applyNumberFormat="1" applyFont="1" applyFill="1" applyBorder="1" applyAlignment="1">
      <alignment horizontal="right"/>
    </xf>
    <xf numFmtId="43" fontId="2" fillId="0" borderId="45" xfId="190" applyNumberFormat="1" applyFont="1" applyFill="1" applyBorder="1" applyAlignment="1">
      <alignment horizontal="center" vertical="top" wrapText="1"/>
    </xf>
    <xf numFmtId="182" fontId="2" fillId="91" borderId="0" xfId="0" applyNumberFormat="1" applyFont="1" applyFill="1" applyAlignment="1">
      <alignment horizontal="center"/>
    </xf>
    <xf numFmtId="0" fontId="15" fillId="0" borderId="0" xfId="0" applyFont="1" applyAlignment="1">
      <alignment horizontal="center"/>
    </xf>
    <xf numFmtId="14" fontId="15" fillId="0" borderId="0" xfId="0" applyNumberFormat="1" applyFont="1" applyAlignment="1">
      <alignment horizontal="center"/>
    </xf>
    <xf numFmtId="172" fontId="0" fillId="0" borderId="0" xfId="1" quotePrefix="1" applyNumberFormat="1" applyFont="1" applyFill="1"/>
    <xf numFmtId="10" fontId="0" fillId="0" borderId="0" xfId="1" applyNumberFormat="1" applyFont="1" applyFill="1" applyAlignment="1">
      <alignment horizontal="center"/>
    </xf>
    <xf numFmtId="196" fontId="0" fillId="0" borderId="0" xfId="0" applyNumberFormat="1"/>
    <xf numFmtId="166" fontId="0" fillId="0" borderId="0" xfId="0" applyNumberFormat="1" applyAlignment="1">
      <alignment horizontal="right"/>
    </xf>
    <xf numFmtId="172" fontId="6" fillId="6" borderId="0" xfId="1" applyNumberFormat="1" applyFont="1" applyFill="1"/>
    <xf numFmtId="0" fontId="0" fillId="84" borderId="2" xfId="0" applyFill="1" applyBorder="1"/>
    <xf numFmtId="4" fontId="15" fillId="95" borderId="18" xfId="190" applyFont="1" applyFill="1" applyBorder="1" applyAlignment="1">
      <alignment horizontal="center"/>
    </xf>
    <xf numFmtId="2" fontId="15" fillId="95" borderId="18" xfId="0" applyNumberFormat="1" applyFont="1" applyFill="1" applyBorder="1" applyAlignment="1">
      <alignment horizontal="center"/>
    </xf>
    <xf numFmtId="168" fontId="0" fillId="2" borderId="0" xfId="0" applyNumberFormat="1" applyFill="1"/>
    <xf numFmtId="10" fontId="2" fillId="0" borderId="0" xfId="0" applyNumberFormat="1" applyFont="1"/>
    <xf numFmtId="195" fontId="2" fillId="0" borderId="0" xfId="190" applyNumberFormat="1" applyFont="1"/>
    <xf numFmtId="9" fontId="0" fillId="0" borderId="0" xfId="0" applyNumberFormat="1"/>
    <xf numFmtId="0" fontId="0" fillId="6" borderId="0" xfId="0" applyFill="1"/>
    <xf numFmtId="10" fontId="0" fillId="6" borderId="0" xfId="0" applyNumberFormat="1" applyFill="1"/>
    <xf numFmtId="4" fontId="0" fillId="6" borderId="0" xfId="190" applyFont="1" applyFill="1"/>
    <xf numFmtId="195" fontId="0" fillId="6" borderId="0" xfId="190" applyNumberFormat="1" applyFont="1" applyFill="1"/>
    <xf numFmtId="9" fontId="0" fillId="6" borderId="0" xfId="1" applyFont="1" applyFill="1"/>
    <xf numFmtId="0" fontId="2" fillId="6" borderId="0" xfId="0" applyFont="1" applyFill="1"/>
    <xf numFmtId="10" fontId="2" fillId="6" borderId="0" xfId="0" applyNumberFormat="1" applyFont="1" applyFill="1"/>
    <xf numFmtId="4" fontId="2" fillId="6" borderId="0" xfId="190" applyFont="1" applyFill="1"/>
    <xf numFmtId="195" fontId="2" fillId="6" borderId="0" xfId="190" applyNumberFormat="1" applyFont="1" applyFill="1"/>
    <xf numFmtId="172" fontId="0" fillId="6" borderId="0" xfId="1" applyNumberFormat="1" applyFont="1" applyFill="1"/>
    <xf numFmtId="0" fontId="0" fillId="6" borderId="54" xfId="0" applyFill="1" applyBorder="1"/>
    <xf numFmtId="4" fontId="0" fillId="6" borderId="55" xfId="190" applyFont="1" applyFill="1" applyBorder="1"/>
    <xf numFmtId="43" fontId="2" fillId="6" borderId="0" xfId="0" applyNumberFormat="1" applyFont="1" applyFill="1"/>
    <xf numFmtId="9" fontId="2" fillId="6" borderId="0" xfId="1" applyFont="1" applyFill="1"/>
    <xf numFmtId="0" fontId="2" fillId="6" borderId="54" xfId="0" applyFont="1" applyFill="1" applyBorder="1"/>
    <xf numFmtId="0" fontId="2" fillId="6" borderId="56" xfId="0" applyFont="1" applyFill="1" applyBorder="1"/>
    <xf numFmtId="4" fontId="2" fillId="6" borderId="56" xfId="0" applyNumberFormat="1" applyFont="1" applyFill="1" applyBorder="1"/>
    <xf numFmtId="4" fontId="2" fillId="6" borderId="55" xfId="0" applyNumberFormat="1" applyFont="1" applyFill="1" applyBorder="1"/>
    <xf numFmtId="10" fontId="0" fillId="2" borderId="0" xfId="0" applyNumberFormat="1" applyFill="1"/>
    <xf numFmtId="9" fontId="2" fillId="2" borderId="0" xfId="1" applyFont="1" applyFill="1"/>
    <xf numFmtId="4" fontId="2" fillId="2" borderId="0" xfId="190" applyFont="1" applyFill="1"/>
    <xf numFmtId="10" fontId="2" fillId="2" borderId="0" xfId="0" applyNumberFormat="1" applyFont="1" applyFill="1"/>
    <xf numFmtId="195" fontId="2" fillId="2" borderId="0" xfId="190" applyNumberFormat="1" applyFont="1" applyFill="1"/>
    <xf numFmtId="0" fontId="2" fillId="2" borderId="54" xfId="0" applyFont="1" applyFill="1" applyBorder="1"/>
    <xf numFmtId="0" fontId="2" fillId="2" borderId="56" xfId="0" applyFont="1" applyFill="1" applyBorder="1"/>
    <xf numFmtId="4" fontId="2" fillId="2" borderId="56" xfId="0" applyNumberFormat="1" applyFont="1" applyFill="1" applyBorder="1"/>
    <xf numFmtId="3" fontId="0" fillId="2" borderId="0" xfId="190" applyNumberFormat="1" applyFont="1" applyFill="1"/>
    <xf numFmtId="166" fontId="0" fillId="2" borderId="0" xfId="0" applyNumberFormat="1" applyFill="1" applyAlignment="1">
      <alignment horizontal="right"/>
    </xf>
    <xf numFmtId="10" fontId="0" fillId="2" borderId="1" xfId="1" applyNumberFormat="1" applyFont="1" applyFill="1" applyBorder="1"/>
    <xf numFmtId="166" fontId="0" fillId="2" borderId="1" xfId="190" applyNumberFormat="1" applyFont="1" applyFill="1" applyBorder="1"/>
    <xf numFmtId="198" fontId="0" fillId="2" borderId="0" xfId="1" applyNumberFormat="1" applyFont="1" applyFill="1"/>
    <xf numFmtId="170" fontId="0" fillId="2" borderId="1" xfId="190" applyNumberFormat="1" applyFont="1" applyFill="1" applyBorder="1"/>
    <xf numFmtId="166" fontId="0" fillId="2" borderId="0" xfId="0" applyNumberFormat="1" applyFill="1"/>
    <xf numFmtId="173" fontId="0" fillId="2" borderId="0" xfId="1" applyNumberFormat="1" applyFont="1" applyFill="1"/>
    <xf numFmtId="3" fontId="0" fillId="2" borderId="0" xfId="190" applyNumberFormat="1" applyFont="1" applyFill="1" applyAlignment="1">
      <alignment horizontal="center"/>
    </xf>
    <xf numFmtId="170" fontId="0" fillId="2" borderId="0" xfId="1" applyNumberFormat="1" applyFont="1" applyFill="1"/>
    <xf numFmtId="170" fontId="0" fillId="2" borderId="0" xfId="190" applyNumberFormat="1" applyFont="1" applyFill="1" applyBorder="1"/>
    <xf numFmtId="10" fontId="0" fillId="2" borderId="0" xfId="1" applyNumberFormat="1" applyFont="1" applyFill="1" applyBorder="1"/>
    <xf numFmtId="196" fontId="0" fillId="2" borderId="0" xfId="0" applyNumberFormat="1" applyFill="1"/>
    <xf numFmtId="166" fontId="0" fillId="2" borderId="0" xfId="190" applyNumberFormat="1" applyFont="1" applyFill="1" applyAlignment="1">
      <alignment horizontal="center"/>
    </xf>
    <xf numFmtId="168" fontId="0" fillId="2" borderId="0" xfId="1" applyNumberFormat="1" applyFont="1" applyFill="1"/>
    <xf numFmtId="4" fontId="0" fillId="2" borderId="0" xfId="190" applyFont="1" applyFill="1" applyAlignment="1">
      <alignment horizontal="right"/>
    </xf>
    <xf numFmtId="14" fontId="15" fillId="3" borderId="0" xfId="0" applyNumberFormat="1" applyFont="1" applyFill="1" applyAlignment="1">
      <alignment horizontal="center"/>
    </xf>
    <xf numFmtId="0" fontId="86" fillId="0" borderId="0" xfId="0" applyFont="1"/>
    <xf numFmtId="0" fontId="15" fillId="8" borderId="0" xfId="0" applyFont="1" applyFill="1" applyAlignment="1">
      <alignment horizontal="center"/>
    </xf>
    <xf numFmtId="0" fontId="15" fillId="0" borderId="18" xfId="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86" fillId="0" borderId="0" xfId="0" applyFont="1" applyAlignment="1">
      <alignment horizontal="center"/>
    </xf>
    <xf numFmtId="0" fontId="15" fillId="0" borderId="0" xfId="0" quotePrefix="1" applyFont="1"/>
    <xf numFmtId="4" fontId="28" fillId="2" borderId="0" xfId="190" applyFont="1" applyFill="1"/>
    <xf numFmtId="170" fontId="1" fillId="2" borderId="0" xfId="190" applyNumberFormat="1" applyFont="1" applyFill="1"/>
    <xf numFmtId="43" fontId="0" fillId="2" borderId="0" xfId="190" quotePrefix="1" applyNumberFormat="1" applyFont="1" applyFill="1"/>
    <xf numFmtId="4" fontId="1" fillId="2" borderId="0" xfId="190" applyFont="1" applyFill="1" applyAlignment="1">
      <alignment horizontal="right"/>
    </xf>
    <xf numFmtId="167" fontId="0" fillId="2" borderId="0" xfId="190" applyNumberFormat="1" applyFont="1" applyFill="1"/>
    <xf numFmtId="170" fontId="0" fillId="2" borderId="0" xfId="190" applyNumberFormat="1" applyFont="1" applyFill="1"/>
    <xf numFmtId="171" fontId="0" fillId="2" borderId="0" xfId="190" applyNumberFormat="1" applyFont="1" applyFill="1"/>
    <xf numFmtId="169" fontId="0" fillId="2" borderId="0" xfId="190" applyNumberFormat="1" applyFont="1" applyFill="1"/>
    <xf numFmtId="2" fontId="0" fillId="2" borderId="0" xfId="0" applyNumberFormat="1" applyFill="1"/>
    <xf numFmtId="166" fontId="0" fillId="10" borderId="1" xfId="190" applyNumberFormat="1" applyFont="1" applyFill="1" applyBorder="1"/>
    <xf numFmtId="3" fontId="0" fillId="10" borderId="0" xfId="190" applyNumberFormat="1" applyFont="1" applyFill="1" applyAlignment="1">
      <alignment horizontal="center"/>
    </xf>
    <xf numFmtId="4" fontId="0" fillId="10" borderId="0" xfId="190" applyFont="1" applyFill="1" applyAlignment="1">
      <alignment horizontal="right"/>
    </xf>
    <xf numFmtId="166" fontId="0" fillId="10" borderId="0" xfId="190" applyNumberFormat="1" applyFont="1" applyFill="1" applyBorder="1"/>
    <xf numFmtId="43" fontId="0" fillId="0" borderId="0" xfId="190" applyNumberFormat="1" applyFont="1" applyFill="1" applyAlignment="1">
      <alignment horizontal="right"/>
    </xf>
    <xf numFmtId="0" fontId="0" fillId="3" borderId="0" xfId="0" applyFill="1"/>
    <xf numFmtId="170" fontId="0" fillId="2" borderId="59" xfId="190" applyNumberFormat="1" applyFont="1" applyFill="1" applyBorder="1"/>
    <xf numFmtId="170" fontId="0" fillId="10" borderId="0" xfId="1" applyNumberFormat="1" applyFont="1" applyFill="1"/>
    <xf numFmtId="166" fontId="0" fillId="10" borderId="0" xfId="0" applyNumberFormat="1" applyFill="1"/>
    <xf numFmtId="170" fontId="0" fillId="10" borderId="1" xfId="190" applyNumberFormat="1" applyFont="1" applyFill="1" applyBorder="1"/>
    <xf numFmtId="198" fontId="0" fillId="10" borderId="0" xfId="1" applyNumberFormat="1" applyFont="1" applyFill="1"/>
    <xf numFmtId="43" fontId="0" fillId="10" borderId="19" xfId="190" applyNumberFormat="1" applyFont="1" applyFill="1" applyBorder="1" applyAlignment="1">
      <alignment horizontal="right"/>
    </xf>
    <xf numFmtId="166" fontId="0" fillId="10" borderId="0" xfId="0" applyNumberFormat="1" applyFill="1" applyAlignment="1">
      <alignment horizontal="right"/>
    </xf>
    <xf numFmtId="166" fontId="0" fillId="10" borderId="0" xfId="190" applyNumberFormat="1" applyFont="1" applyFill="1"/>
    <xf numFmtId="3" fontId="0" fillId="10" borderId="0" xfId="190" applyNumberFormat="1" applyFont="1" applyFill="1"/>
    <xf numFmtId="166" fontId="0" fillId="2" borderId="0" xfId="190" applyNumberFormat="1" applyFont="1" applyFill="1" applyBorder="1"/>
    <xf numFmtId="43" fontId="0" fillId="2" borderId="19" xfId="190" applyNumberFormat="1" applyFont="1" applyFill="1" applyBorder="1" applyAlignment="1">
      <alignment horizontal="right"/>
    </xf>
    <xf numFmtId="170" fontId="0" fillId="10" borderId="58" xfId="190" applyNumberFormat="1" applyFont="1" applyFill="1" applyBorder="1"/>
    <xf numFmtId="166" fontId="0" fillId="10" borderId="0" xfId="190" applyNumberFormat="1" applyFont="1" applyFill="1" applyAlignment="1">
      <alignment horizontal="center"/>
    </xf>
    <xf numFmtId="168" fontId="0" fillId="10" borderId="0" xfId="1" applyNumberFormat="1" applyFont="1" applyFill="1"/>
    <xf numFmtId="43" fontId="2" fillId="3" borderId="0" xfId="190" applyNumberFormat="1" applyFont="1" applyFill="1" applyBorder="1"/>
    <xf numFmtId="43" fontId="2" fillId="0" borderId="0" xfId="190" applyNumberFormat="1" applyFont="1" applyFill="1"/>
    <xf numFmtId="9" fontId="0" fillId="10" borderId="0" xfId="1" applyFont="1" applyFill="1"/>
    <xf numFmtId="0" fontId="0" fillId="10" borderId="0" xfId="0" applyFill="1" applyAlignment="1">
      <alignment horizontal="center"/>
    </xf>
    <xf numFmtId="172" fontId="0" fillId="10" borderId="0" xfId="1" applyNumberFormat="1" applyFont="1" applyFill="1"/>
    <xf numFmtId="170" fontId="0" fillId="2" borderId="58" xfId="190" applyNumberFormat="1" applyFont="1" applyFill="1" applyBorder="1"/>
    <xf numFmtId="170" fontId="0" fillId="2" borderId="57" xfId="190" applyNumberFormat="1" applyFont="1" applyFill="1" applyBorder="1"/>
    <xf numFmtId="10" fontId="0" fillId="10" borderId="0" xfId="1" applyNumberFormat="1" applyFont="1" applyFill="1" applyBorder="1"/>
    <xf numFmtId="196" fontId="0" fillId="10" borderId="0" xfId="0" applyNumberFormat="1" applyFill="1"/>
    <xf numFmtId="170" fontId="0" fillId="10" borderId="0" xfId="190" applyNumberFormat="1" applyFont="1" applyFill="1" applyBorder="1"/>
    <xf numFmtId="2" fontId="0" fillId="10" borderId="0" xfId="0" applyNumberFormat="1" applyFill="1"/>
    <xf numFmtId="172" fontId="0" fillId="10" borderId="0" xfId="0" applyNumberFormat="1" applyFill="1"/>
    <xf numFmtId="169" fontId="0" fillId="10" borderId="0" xfId="190" applyNumberFormat="1" applyFont="1" applyFill="1"/>
    <xf numFmtId="171" fontId="0" fillId="10" borderId="0" xfId="190" applyNumberFormat="1" applyFont="1" applyFill="1"/>
    <xf numFmtId="167" fontId="0" fillId="10" borderId="0" xfId="190" applyNumberFormat="1" applyFont="1" applyFill="1"/>
    <xf numFmtId="43" fontId="0" fillId="10" borderId="0" xfId="190" quotePrefix="1" applyNumberFormat="1" applyFont="1" applyFill="1"/>
    <xf numFmtId="168" fontId="2" fillId="0" borderId="0" xfId="190" applyNumberFormat="1" applyFont="1" applyFill="1"/>
    <xf numFmtId="43" fontId="0" fillId="3" borderId="0" xfId="190" applyNumberFormat="1" applyFont="1" applyFill="1" applyAlignment="1">
      <alignment horizontal="right"/>
    </xf>
    <xf numFmtId="43" fontId="2" fillId="3" borderId="0" xfId="190" applyNumberFormat="1" applyFont="1" applyFill="1" applyAlignment="1">
      <alignment horizontal="right"/>
    </xf>
    <xf numFmtId="43" fontId="2" fillId="3" borderId="0" xfId="190" applyNumberFormat="1" applyFont="1" applyFill="1"/>
    <xf numFmtId="170" fontId="0" fillId="10" borderId="0" xfId="190" applyNumberFormat="1" applyFont="1" applyFill="1"/>
    <xf numFmtId="4" fontId="86" fillId="10" borderId="0" xfId="190" applyFont="1" applyFill="1"/>
    <xf numFmtId="195" fontId="0" fillId="10" borderId="0" xfId="190" applyNumberFormat="1" applyFont="1" applyFill="1"/>
    <xf numFmtId="4" fontId="1" fillId="10" borderId="0" xfId="190" applyFont="1" applyFill="1" applyAlignment="1">
      <alignment horizontal="right"/>
    </xf>
    <xf numFmtId="170" fontId="1" fillId="10" borderId="0" xfId="190" applyNumberFormat="1" applyFont="1" applyFill="1"/>
    <xf numFmtId="4" fontId="28" fillId="10" borderId="0" xfId="190" applyFont="1" applyFill="1"/>
    <xf numFmtId="10" fontId="0" fillId="10" borderId="1" xfId="1" applyNumberFormat="1" applyFont="1" applyFill="1" applyBorder="1"/>
    <xf numFmtId="0" fontId="3" fillId="94" borderId="49" xfId="0" applyFont="1" applyFill="1" applyBorder="1" applyAlignment="1">
      <alignment horizontal="center"/>
    </xf>
    <xf numFmtId="0" fontId="0" fillId="0" borderId="0" xfId="0" applyAlignment="1">
      <alignment vertical="center" wrapText="1"/>
    </xf>
    <xf numFmtId="0" fontId="95" fillId="88" borderId="0" xfId="0" applyFont="1" applyFill="1" applyAlignment="1">
      <alignment horizontal="center"/>
    </xf>
    <xf numFmtId="0" fontId="3" fillId="92" borderId="46" xfId="0" applyFont="1" applyFill="1" applyBorder="1" applyAlignment="1">
      <alignment horizontal="left"/>
    </xf>
    <xf numFmtId="0" fontId="3" fillId="93" borderId="47" xfId="0" applyFont="1" applyFill="1" applyBorder="1" applyAlignment="1">
      <alignment horizontal="center"/>
    </xf>
    <xf numFmtId="0" fontId="3" fillId="93" borderId="48" xfId="0" applyFont="1" applyFill="1" applyBorder="1" applyAlignment="1">
      <alignment horizontal="center"/>
    </xf>
    <xf numFmtId="0" fontId="3" fillId="93" borderId="49" xfId="0" applyFont="1" applyFill="1" applyBorder="1" applyAlignment="1">
      <alignment horizontal="center"/>
    </xf>
    <xf numFmtId="0" fontId="3" fillId="93" borderId="50" xfId="0" applyFont="1" applyFill="1" applyBorder="1" applyAlignment="1">
      <alignment horizontal="center"/>
    </xf>
    <xf numFmtId="0" fontId="3" fillId="93" borderId="51" xfId="0" applyFont="1" applyFill="1" applyBorder="1" applyAlignment="1">
      <alignment horizontal="center"/>
    </xf>
    <xf numFmtId="0" fontId="3" fillId="93" borderId="52" xfId="0" applyFont="1" applyFill="1" applyBorder="1" applyAlignment="1">
      <alignment horizontal="center"/>
    </xf>
    <xf numFmtId="0" fontId="3" fillId="93" borderId="53" xfId="0" applyFont="1" applyFill="1" applyBorder="1" applyAlignment="1">
      <alignment horizontal="center"/>
    </xf>
    <xf numFmtId="0" fontId="15" fillId="0" borderId="1" xfId="0" applyFont="1" applyBorder="1" applyAlignment="1">
      <alignment horizontal="left"/>
    </xf>
    <xf numFmtId="0" fontId="15" fillId="0" borderId="19" xfId="0" applyFont="1" applyBorder="1" applyAlignment="1">
      <alignment horizontal="center"/>
    </xf>
    <xf numFmtId="2" fontId="15" fillId="95" borderId="0" xfId="0" applyNumberFormat="1" applyFont="1" applyFill="1" applyAlignment="1">
      <alignment horizontal="center"/>
    </xf>
    <xf numFmtId="2" fontId="15" fillId="95" borderId="1" xfId="0" applyNumberFormat="1" applyFont="1" applyFill="1" applyBorder="1" applyAlignment="1">
      <alignment horizontal="center"/>
    </xf>
    <xf numFmtId="183" fontId="15" fillId="95" borderId="0" xfId="0" applyNumberFormat="1" applyFont="1" applyFill="1" applyAlignment="1">
      <alignment horizontal="center"/>
    </xf>
    <xf numFmtId="0" fontId="28" fillId="0" borderId="0" xfId="0" applyFont="1"/>
    <xf numFmtId="0" fontId="15" fillId="2" borderId="0" xfId="0" applyFont="1" applyFill="1" applyAlignment="1">
      <alignment horizontal="center"/>
    </xf>
    <xf numFmtId="2" fontId="15" fillId="2" borderId="18" xfId="0" applyNumberFormat="1" applyFont="1" applyFill="1" applyBorder="1" applyAlignment="1">
      <alignment horizontal="center"/>
    </xf>
    <xf numFmtId="2" fontId="15" fillId="2" borderId="1" xfId="0" applyNumberFormat="1" applyFont="1" applyFill="1" applyBorder="1" applyAlignment="1">
      <alignment horizontal="center"/>
    </xf>
    <xf numFmtId="0" fontId="15" fillId="12" borderId="0" xfId="0" applyFont="1" applyFill="1" applyAlignment="1">
      <alignment horizontal="center"/>
    </xf>
    <xf numFmtId="0" fontId="15" fillId="0" borderId="0" xfId="0" applyFont="1" applyAlignment="1">
      <alignment horizontal="left"/>
    </xf>
    <xf numFmtId="0" fontId="3" fillId="92" borderId="49" xfId="0" applyFont="1" applyFill="1" applyBorder="1" applyAlignment="1">
      <alignment horizontal="center"/>
    </xf>
    <xf numFmtId="170" fontId="90" fillId="0" borderId="0" xfId="0" applyNumberFormat="1" applyFont="1" applyFill="1" applyAlignment="1">
      <alignment horizontal="center" vertical="center" wrapText="1"/>
    </xf>
    <xf numFmtId="0" fontId="89" fillId="0" borderId="0" xfId="0" applyFont="1" applyFill="1" applyAlignment="1">
      <alignment horizontal="left"/>
    </xf>
    <xf numFmtId="172" fontId="89" fillId="0" borderId="0" xfId="0" applyNumberFormat="1" applyFont="1" applyFill="1" applyAlignment="1"/>
    <xf numFmtId="10" fontId="89" fillId="0" borderId="0" xfId="0" applyNumberFormat="1" applyFont="1" applyFill="1" applyAlignment="1"/>
    <xf numFmtId="0" fontId="89" fillId="0" borderId="0" xfId="0" applyFont="1" applyFill="1" applyAlignment="1">
      <alignment horizontal="left" indent="1"/>
    </xf>
    <xf numFmtId="170" fontId="89" fillId="0" borderId="0" xfId="0" applyNumberFormat="1" applyFont="1" applyFill="1" applyAlignment="1"/>
    <xf numFmtId="10" fontId="89" fillId="0" borderId="0" xfId="0" applyNumberFormat="1" applyFont="1" applyFill="1" applyAlignment="1">
      <alignment horizontal="center" vertical="center" wrapText="1"/>
    </xf>
    <xf numFmtId="0" fontId="89" fillId="0" borderId="0" xfId="0" applyFont="1" applyFill="1" applyAlignment="1">
      <alignment horizontal="center" vertical="center" wrapText="1"/>
    </xf>
  </cellXfs>
  <cellStyles count="5472">
    <cellStyle name="1" xfId="13" xr:uid="{FA6C5025-C4D6-45CB-ABA7-4971283ADA73}"/>
    <cellStyle name="1 2" xfId="279" xr:uid="{FFE46D87-50BF-457A-9A17-751952CF6EE6}"/>
    <cellStyle name="20% - Accent1" xfId="20" builtinId="30" customBuiltin="1"/>
    <cellStyle name="20% - Accent1 2" xfId="14" xr:uid="{C4789119-CACC-4C80-B38B-2E62721FC5D3}"/>
    <cellStyle name="20% - Accent2" xfId="21" builtinId="34" customBuiltin="1"/>
    <cellStyle name="20% - Accent2 2" xfId="15" xr:uid="{D11CDBE3-1598-45A2-ADDC-E256702E0CA7}"/>
    <cellStyle name="20% - Accent3" xfId="22" builtinId="38" customBuiltin="1"/>
    <cellStyle name="20% - Accent3 2" xfId="16" xr:uid="{D1D8A40C-890A-4723-9724-531CC5A8038A}"/>
    <cellStyle name="20% - Accent4" xfId="23" builtinId="42" customBuiltin="1"/>
    <cellStyle name="20% - Accent4 2" xfId="17" xr:uid="{712F88F2-40B6-47CC-A78F-183D99F32E06}"/>
    <cellStyle name="20% - Accent5" xfId="24" builtinId="46" customBuiltin="1"/>
    <cellStyle name="20% - Accent5 2" xfId="18" xr:uid="{6F4E7097-FFD9-4A55-BBDC-E24A09C93257}"/>
    <cellStyle name="20% - Accent6" xfId="25" builtinId="50" customBuiltin="1"/>
    <cellStyle name="20% - Accent6 2" xfId="19" xr:uid="{16745907-9E85-4688-ADB7-BA03B9439457}"/>
    <cellStyle name="20% - Ênfase1" xfId="4370" xr:uid="{D9799FB5-9F4E-4F11-939B-BFE6FE8FCBD1}"/>
    <cellStyle name="20% - Ênfase2" xfId="4371" xr:uid="{C1C756EC-E654-4EC2-BE0E-85EEA5E6F1D2}"/>
    <cellStyle name="20% - Ênfase3" xfId="4372" xr:uid="{AB490D43-8FB5-4C15-B7F2-AB22899B37A5}"/>
    <cellStyle name="20% - Ênfase4" xfId="4373" xr:uid="{697786D3-0426-455C-9757-63B675B631C9}"/>
    <cellStyle name="20% - Ênfase5" xfId="4374" xr:uid="{F5B22213-0FDE-4A32-9CD6-8F2FCAFC8EE6}"/>
    <cellStyle name="20% - Ênfase6" xfId="4375" xr:uid="{A4A1EB7C-6E9B-449F-8E5B-19C69DA67C9C}"/>
    <cellStyle name="40% - Accent1" xfId="32" builtinId="31" customBuiltin="1"/>
    <cellStyle name="40% - Accent1 2" xfId="26" xr:uid="{5F1BA23B-AEB5-406C-95AF-EE31FADFC81C}"/>
    <cellStyle name="40% - Accent2" xfId="33" builtinId="35" customBuiltin="1"/>
    <cellStyle name="40% - Accent2 2" xfId="27" xr:uid="{2CC1FBF9-E2C6-4BA6-A788-C2378720B8C8}"/>
    <cellStyle name="40% - Accent3" xfId="34" builtinId="39" customBuiltin="1"/>
    <cellStyle name="40% - Accent3 2" xfId="28" xr:uid="{FCD11964-8FAC-4C8E-BB9A-068CAF107B4E}"/>
    <cellStyle name="40% - Accent4" xfId="35" builtinId="43" customBuiltin="1"/>
    <cellStyle name="40% - Accent4 2" xfId="29" xr:uid="{95DA549C-74AF-46A8-B319-06D1D87E72A8}"/>
    <cellStyle name="40% - Accent5" xfId="36" builtinId="47" customBuiltin="1"/>
    <cellStyle name="40% - Accent5 2" xfId="30" xr:uid="{92227381-6399-4D7E-AF8E-2DF970DCB324}"/>
    <cellStyle name="40% - Accent6" xfId="37" builtinId="51" customBuiltin="1"/>
    <cellStyle name="40% - Accent6 2" xfId="31" xr:uid="{FA8C97E9-617A-404A-9561-6F98A8BBB6ED}"/>
    <cellStyle name="40% - Ênfase1" xfId="4376" xr:uid="{31484F53-F360-4753-8951-99133744B3F9}"/>
    <cellStyle name="40% - Ênfase2" xfId="4377" xr:uid="{277D8E62-7703-40D3-B0A4-564EBDCAFB22}"/>
    <cellStyle name="40% - Ênfase3" xfId="4378" xr:uid="{F14C75F6-3D84-4116-9638-6B9A8AEB004F}"/>
    <cellStyle name="40% - Ênfase4" xfId="4379" xr:uid="{171B8D31-7396-4B6E-819E-942C79924C6B}"/>
    <cellStyle name="40% - Ênfase5" xfId="4380" xr:uid="{F4D92623-9E0E-436F-A15B-EB8E02F24F38}"/>
    <cellStyle name="40% - Ênfase6" xfId="4381" xr:uid="{44B72067-5CDF-468E-ACED-E2CB8B588600}"/>
    <cellStyle name="60% - Accent1" xfId="44" builtinId="32" customBuiltin="1"/>
    <cellStyle name="60% - Accent1 2" xfId="38" xr:uid="{5962CB18-2814-427A-9AC9-47F862B4D36D}"/>
    <cellStyle name="60% - Accent1 3" xfId="4364" xr:uid="{C6652E27-C874-4B28-B109-63A0DC061363}"/>
    <cellStyle name="60% - Accent2" xfId="45" builtinId="36" customBuiltin="1"/>
    <cellStyle name="60% - Accent2 2" xfId="39" xr:uid="{1A156EAD-B768-4571-B6E4-9AB0609E0364}"/>
    <cellStyle name="60% - Accent2 3" xfId="4365" xr:uid="{4274AD78-CB7D-40E3-9C8D-EE9FC2FFC51E}"/>
    <cellStyle name="60% - Accent3" xfId="46" builtinId="40" customBuiltin="1"/>
    <cellStyle name="60% - Accent3 2" xfId="40" xr:uid="{31FED88C-77B3-417E-A16B-42BF67115F18}"/>
    <cellStyle name="60% - Accent3 3" xfId="4366" xr:uid="{938B7652-DBCD-4922-98BC-3EF09F15CC65}"/>
    <cellStyle name="60% - Accent4" xfId="47" builtinId="44" customBuiltin="1"/>
    <cellStyle name="60% - Accent4 2" xfId="41" xr:uid="{B8C269C0-8390-418A-91DC-6FD2AE71BA1C}"/>
    <cellStyle name="60% - Accent4 3" xfId="4367" xr:uid="{99E02AD5-D6D0-4D5B-90A2-3B0D8180BD6C}"/>
    <cellStyle name="60% - Accent5" xfId="48" builtinId="48" customBuiltin="1"/>
    <cellStyle name="60% - Accent5 2" xfId="42" xr:uid="{322A48DB-DDB3-4C6D-A164-509AACB7271C}"/>
    <cellStyle name="60% - Accent5 3" xfId="4368" xr:uid="{FD5C0BFC-453F-4BD4-BDB9-46CDDD3BDDA4}"/>
    <cellStyle name="60% - Accent6" xfId="49" builtinId="52" customBuiltin="1"/>
    <cellStyle name="60% - Accent6 2" xfId="43" xr:uid="{C6FF43F5-DCF8-4702-8CA4-5F9D8F74F010}"/>
    <cellStyle name="60% - Accent6 3" xfId="4369" xr:uid="{570B1C90-A39C-40D7-B40A-A2E609CF9643}"/>
    <cellStyle name="60% - Ênfase1" xfId="4382" xr:uid="{5A09A1B9-37C6-4B5E-A520-D7643E6A0E61}"/>
    <cellStyle name="60% - Ênfase2" xfId="4383" xr:uid="{1F27CCF3-7750-4F50-871A-03A4E12BAF15}"/>
    <cellStyle name="60% - Ênfase3" xfId="4384" xr:uid="{52B929D7-7F0E-4DB0-9BFF-5359536EABD0}"/>
    <cellStyle name="60% - Ênfase4" xfId="4385" xr:uid="{B6C6D5F6-4A1E-4054-88B5-7A0252D4BFAE}"/>
    <cellStyle name="60% - Ênfase5" xfId="4386" xr:uid="{7AFBAA18-85B8-4D2D-BDE0-DDA6248E422D}"/>
    <cellStyle name="60% - Ênfase6" xfId="4387" xr:uid="{399BFFE8-B6AF-4C2F-9B1C-0C7F68DD200C}"/>
    <cellStyle name="A3 297 x 420 mm" xfId="50" xr:uid="{E5CA78B4-BE3F-4CF2-B5F2-9D959A891196}"/>
    <cellStyle name="A3 297 x 420 mm 2" xfId="280" xr:uid="{7632706A-79CF-400E-A35E-B2ABB5A09C30}"/>
    <cellStyle name="Accent1" xfId="87" builtinId="29" customBuiltin="1"/>
    <cellStyle name="Accent1 2" xfId="51" xr:uid="{9E40406A-1D88-4695-977F-44244E2FC899}"/>
    <cellStyle name="Accent2" xfId="88" builtinId="33" customBuiltin="1"/>
    <cellStyle name="Accent2 2" xfId="52" xr:uid="{0987259B-F76A-4091-B0A5-E6A075B29D1A}"/>
    <cellStyle name="Accent3" xfId="89" builtinId="37" customBuiltin="1"/>
    <cellStyle name="Accent3 2" xfId="53" xr:uid="{2F91FED0-09A9-45D0-B9A6-FD887422E040}"/>
    <cellStyle name="Accent4" xfId="90" builtinId="41" customBuiltin="1"/>
    <cellStyle name="Accent4 2" xfId="54" xr:uid="{8642B6B2-2ECF-45BD-8EEB-0B1B287B282B}"/>
    <cellStyle name="Accent5" xfId="91" builtinId="45" customBuiltin="1"/>
    <cellStyle name="Accent5 2" xfId="55" xr:uid="{7FB63C83-D666-4354-BA79-8F069CD9BD52}"/>
    <cellStyle name="Accent6" xfId="92" builtinId="49" customBuiltin="1"/>
    <cellStyle name="Accent6 2" xfId="56" xr:uid="{5081497C-F172-490D-8815-C8896B794F19}"/>
    <cellStyle name="AFE" xfId="57" xr:uid="{E467E9B1-92C0-4489-A46B-45D4307785B7}"/>
    <cellStyle name="AutoFormat Options" xfId="58" xr:uid="{103BD187-1051-456A-80BB-D78B6693DEFC}"/>
    <cellStyle name="AutoFormat Options 2" xfId="1273" xr:uid="{16DFF83A-75B9-4484-A281-710BE40ACEE2}"/>
    <cellStyle name="AutoFormat Options 2 2" xfId="3331" xr:uid="{CF56E90E-FEC2-4E79-A107-0AE0E74C60F3}"/>
    <cellStyle name="AutoFormat Options 3" xfId="2301" xr:uid="{515718E6-EF14-42DF-B770-FB0F21FB9650}"/>
    <cellStyle name="AutoFormat Options 4" xfId="4426" xr:uid="{B61ED22B-D170-4A3C-A52A-8C8F70EFA008}"/>
    <cellStyle name="Bad" xfId="5" builtinId="27" customBuiltin="1"/>
    <cellStyle name="Bad 2" xfId="59" xr:uid="{E48B8627-36D2-4125-B973-03B779EEC748}"/>
    <cellStyle name="Basis Points" xfId="60" xr:uid="{A472F49C-8C01-4F7C-B7EC-02248F82281C}"/>
    <cellStyle name="blp_column_header" xfId="61" xr:uid="{CE2CEF85-1689-45AA-AE49-D066E4BB202A}"/>
    <cellStyle name="Bom" xfId="4" xr:uid="{6534F8EF-7A32-49AD-8382-CE823E6AD32B}"/>
    <cellStyle name="Bom 2" xfId="4388" xr:uid="{85B6EF5F-49E7-496D-95D1-BA7D300E291B}"/>
    <cellStyle name="Calculation" xfId="63" builtinId="22" customBuiltin="1"/>
    <cellStyle name="Calculation 2" xfId="62" xr:uid="{27D362EB-4C68-4D00-A334-011811D623F5}"/>
    <cellStyle name="Cálculo" xfId="4389" xr:uid="{D8183DAD-9CC3-4AA5-AD60-6A1D94739AA2}"/>
    <cellStyle name="CarteiraCabecalhoColuna 3" xfId="386" xr:uid="{8F520CA7-1508-4003-AAC1-4CC52C4E1906}"/>
    <cellStyle name="CarteiraDestaque" xfId="383" xr:uid="{D1073514-28F4-4C9E-B8EF-FB207FEBEE7B}"/>
    <cellStyle name="CarteiraDestaqueData" xfId="385" xr:uid="{D169CCF5-0E64-4542-AEAB-CF8D168856AA}"/>
    <cellStyle name="CarteiraNomeFundo" xfId="387" xr:uid="{B19B8D34-8A02-4154-8C40-531B74D71553}"/>
    <cellStyle name="CarteiraNomeSecao" xfId="384" xr:uid="{538BD9F7-5ABB-4A5C-9CF0-5EBA16C6D517}"/>
    <cellStyle name="Célula de Verificação" xfId="9" xr:uid="{7F655848-E513-44B3-88FB-88F02F38BDE0}"/>
    <cellStyle name="Célula de Verificação 2" xfId="4390" xr:uid="{7E01400B-0821-4F09-96FA-3559EA08F4B0}"/>
    <cellStyle name="Célula Vinculada" xfId="8" xr:uid="{41C7963F-0796-4B55-9FE9-165B86D646DB}"/>
    <cellStyle name="Célula Vinculada 2" xfId="4391" xr:uid="{EA5E4F6C-15B0-48BB-857E-00C6AF9ABCE2}"/>
    <cellStyle name="Check Cell" xfId="4361" builtinId="23" customBuiltin="1"/>
    <cellStyle name="Check Cell 2" xfId="64" xr:uid="{F6F472C9-F69F-468D-AC68-033571D7070F}"/>
    <cellStyle name="ColHeading" xfId="65" xr:uid="{47745584-3A47-4909-867E-B93775BC2CEC}"/>
    <cellStyle name="ColumnHeading" xfId="66" xr:uid="{5985BF99-C365-4BF5-897F-EE6AC99F9960}"/>
    <cellStyle name="Comma" xfId="190" builtinId="3"/>
    <cellStyle name="Comma [4]" xfId="67" xr:uid="{D2660E36-8D54-4845-BED5-6CCD79CA88C8}"/>
    <cellStyle name="Comma 10" xfId="202" xr:uid="{16AAEAC7-CE16-4834-9D90-1DAD07BA7363}"/>
    <cellStyle name="Comma 10 2" xfId="1288" xr:uid="{2C6206A2-E242-478C-AE88-BAEAF34D0110}"/>
    <cellStyle name="Comma 10 2 2" xfId="3346" xr:uid="{4774E330-AEB3-4FF4-8146-86671285B173}"/>
    <cellStyle name="Comma 10 3" xfId="2316" xr:uid="{03D29B66-7BA3-4499-A348-B1B71D267515}"/>
    <cellStyle name="Comma 10 4" xfId="4442" xr:uid="{9F0C552F-207E-4327-9EF3-D7303194E48B}"/>
    <cellStyle name="Comma 100" xfId="314" xr:uid="{88353064-2C4A-4B2A-A343-F11D1834E3C8}"/>
    <cellStyle name="Comma 100 2" xfId="1378" xr:uid="{A823D0FC-BADF-4F95-8098-54F60F13665A}"/>
    <cellStyle name="Comma 100 2 2" xfId="3436" xr:uid="{6759C0E4-344C-42C3-80A6-5C8A13FC0C8F}"/>
    <cellStyle name="Comma 100 3" xfId="2406" xr:uid="{24EB6B9B-0D33-4789-A338-92093685466A}"/>
    <cellStyle name="Comma 100 4" xfId="4532" xr:uid="{408A3474-775A-41B1-9940-D59FCF9A1DC5}"/>
    <cellStyle name="Comma 1000" xfId="1248" xr:uid="{49D12A22-E5DD-4A83-8D93-ACDD4D22A49B}"/>
    <cellStyle name="Comma 1000 2" xfId="2278" xr:uid="{E5576C1E-A6EB-4680-822F-C480C9948B1F}"/>
    <cellStyle name="Comma 1000 2 2" xfId="4336" xr:uid="{55CD24E7-3B05-46C9-8931-FFF848C6AAF2}"/>
    <cellStyle name="Comma 1000 3" xfId="3306" xr:uid="{15114AEE-04E1-4B47-A1C1-27CA0928C1F2}"/>
    <cellStyle name="Comma 1000 4" xfId="5432" xr:uid="{B1918BD5-D303-4D07-B47B-86E21B7A3ADE}"/>
    <cellStyle name="Comma 1001" xfId="1249" xr:uid="{3B71930B-15FE-450C-A941-B19827FCEC16}"/>
    <cellStyle name="Comma 1001 2" xfId="2279" xr:uid="{DB5AF21B-0C3C-4BB6-86DA-B83457718F16}"/>
    <cellStyle name="Comma 1001 2 2" xfId="4337" xr:uid="{5C154A35-0B5A-44BA-A3DC-F842128C929C}"/>
    <cellStyle name="Comma 1001 3" xfId="3307" xr:uid="{7383BCDA-D04B-4B89-B874-CB2812826B60}"/>
    <cellStyle name="Comma 1001 4" xfId="5433" xr:uid="{10897322-EEEB-4BD5-9A5A-13B4C5D04D16}"/>
    <cellStyle name="Comma 1002" xfId="1250" xr:uid="{E3635005-8C7F-4C94-85F6-732AC020FBAF}"/>
    <cellStyle name="Comma 1002 2" xfId="2280" xr:uid="{0EB68EBE-32D2-4B07-961E-68F29DBE7D76}"/>
    <cellStyle name="Comma 1002 2 2" xfId="4338" xr:uid="{75881AB8-BF25-455C-8A1E-44E2A5C47A2E}"/>
    <cellStyle name="Comma 1002 3" xfId="3308" xr:uid="{F8CEBDFD-A056-4068-BD0C-EBF1B27A53FF}"/>
    <cellStyle name="Comma 1002 4" xfId="5434" xr:uid="{ED38993B-50C0-475B-BD1F-E2774360CF06}"/>
    <cellStyle name="Comma 1003" xfId="1251" xr:uid="{4357EA1E-B594-4188-A5E2-E8E07E296ED5}"/>
    <cellStyle name="Comma 1003 2" xfId="2281" xr:uid="{1F755DA4-5C55-4589-83EB-29A6030CEA5F}"/>
    <cellStyle name="Comma 1003 2 2" xfId="4339" xr:uid="{256BE902-158C-42B9-ACE6-5B37571E0E4D}"/>
    <cellStyle name="Comma 1003 3" xfId="3309" xr:uid="{09BC3F5C-DF4D-4A46-B2C0-FF993ED6774B}"/>
    <cellStyle name="Comma 1003 4" xfId="5435" xr:uid="{AC264BAB-257A-4959-BC99-F7E690F835F2}"/>
    <cellStyle name="Comma 1004" xfId="1252" xr:uid="{8FAF0C1B-3AFF-4D6A-99A2-B14BBE1271E6}"/>
    <cellStyle name="Comma 1004 2" xfId="2282" xr:uid="{BD7B80D5-A5C9-49AF-B27D-7830A12987B1}"/>
    <cellStyle name="Comma 1004 2 2" xfId="4340" xr:uid="{F0FEBC42-CC10-42EC-BC89-CD140D008281}"/>
    <cellStyle name="Comma 1004 3" xfId="3310" xr:uid="{364C1D47-8BB8-4623-A2DE-2C729F0012BF}"/>
    <cellStyle name="Comma 1004 4" xfId="5436" xr:uid="{7DC86402-F243-4A7E-B477-B79C0640B342}"/>
    <cellStyle name="Comma 1005" xfId="1253" xr:uid="{70E6B3EE-274D-450D-9E9E-A387E1952130}"/>
    <cellStyle name="Comma 1005 2" xfId="2283" xr:uid="{49B4B5BD-521B-4715-B1EC-E30F5EB02DDE}"/>
    <cellStyle name="Comma 1005 2 2" xfId="4341" xr:uid="{D4470D09-CB39-4979-94B7-7CC0EAD68A04}"/>
    <cellStyle name="Comma 1005 3" xfId="3311" xr:uid="{F7B4B3C0-9EF1-44ED-AB75-3492E35DD2C1}"/>
    <cellStyle name="Comma 1005 4" xfId="5437" xr:uid="{B022E678-01BA-4E5D-B8B7-8EA7F0B1C263}"/>
    <cellStyle name="Comma 1006" xfId="1254" xr:uid="{C8CB4E6C-3F2B-4C54-92E4-687D95FC1E43}"/>
    <cellStyle name="Comma 1006 2" xfId="2284" xr:uid="{C1811EDD-6ACA-4E05-B3F7-60A7E5E9B955}"/>
    <cellStyle name="Comma 1006 2 2" xfId="4342" xr:uid="{82163AA0-45B9-4FC0-9377-02C9540BAE4F}"/>
    <cellStyle name="Comma 1006 3" xfId="3312" xr:uid="{EF497E47-B73D-48D9-B9BD-4DCD7FDEFADA}"/>
    <cellStyle name="Comma 1006 4" xfId="5438" xr:uid="{FB43255E-EEC3-4122-AF16-104A47E2B907}"/>
    <cellStyle name="Comma 1007" xfId="1255" xr:uid="{6A51372B-B34A-471D-8734-7E2F8B7BEA66}"/>
    <cellStyle name="Comma 1007 2" xfId="2285" xr:uid="{AFBA3CC1-4AA7-474F-8E23-305C45DB5990}"/>
    <cellStyle name="Comma 1007 2 2" xfId="4343" xr:uid="{C47712FF-9635-4411-A0F2-63BC411BD25D}"/>
    <cellStyle name="Comma 1007 3" xfId="3313" xr:uid="{099BA72B-6B0B-4F9D-AFF4-C042687F897B}"/>
    <cellStyle name="Comma 1007 4" xfId="5439" xr:uid="{C338CA5C-6497-4E87-BA9F-5A195A1CFAF1}"/>
    <cellStyle name="Comma 1008" xfId="1256" xr:uid="{CD3C4FDF-6AA6-47B0-A770-C269DB1C4B23}"/>
    <cellStyle name="Comma 1008 2" xfId="2286" xr:uid="{5AF11800-A21E-471F-9ED0-28C9B79D344E}"/>
    <cellStyle name="Comma 1008 2 2" xfId="4344" xr:uid="{7EF1C7A8-70C5-4F51-99FE-C8A40650267E}"/>
    <cellStyle name="Comma 1008 3" xfId="3314" xr:uid="{F2390D1F-8FE2-4491-BAC2-6120E8E3D7EB}"/>
    <cellStyle name="Comma 1008 4" xfId="5440" xr:uid="{A0110322-FAE5-4379-A4B1-D235EFD34F5C}"/>
    <cellStyle name="Comma 1009" xfId="1257" xr:uid="{FE06DFBA-9FBF-470F-B62C-232A2F45048E}"/>
    <cellStyle name="Comma 1009 2" xfId="2287" xr:uid="{C8C21C25-BEAB-4658-9DAB-F2397F722A81}"/>
    <cellStyle name="Comma 1009 2 2" xfId="4345" xr:uid="{DD7BC421-69E7-4145-B46B-C6BBDABD6E59}"/>
    <cellStyle name="Comma 1009 3" xfId="3315" xr:uid="{FFD09C12-FB21-4FA9-A945-3BC72343956C}"/>
    <cellStyle name="Comma 1009 4" xfId="5441" xr:uid="{7AD32F29-BB3E-4547-A8BA-E1A3A7B2F12E}"/>
    <cellStyle name="Comma 101" xfId="315" xr:uid="{3C2B9B20-B10B-4FFC-A2E6-D2576E6AB1A2}"/>
    <cellStyle name="Comma 101 2" xfId="1379" xr:uid="{1D9A355C-33C0-4851-BD16-6D895128F0AC}"/>
    <cellStyle name="Comma 101 2 2" xfId="3437" xr:uid="{10590D3A-594D-4E63-BE58-E097859925D1}"/>
    <cellStyle name="Comma 101 3" xfId="2407" xr:uid="{A82FA974-DD6D-43EE-9B53-CEA5E253CF59}"/>
    <cellStyle name="Comma 101 4" xfId="4533" xr:uid="{0EDFA03B-C580-467B-AAD8-7FA0904CBE3E}"/>
    <cellStyle name="Comma 1010" xfId="1258" xr:uid="{45A98550-3A3B-4E18-A0F1-F620B91BBCCB}"/>
    <cellStyle name="Comma 1010 2" xfId="2288" xr:uid="{6D61823E-0258-4473-ADBE-AA89B9AEB3AA}"/>
    <cellStyle name="Comma 1010 2 2" xfId="4346" xr:uid="{D0C9DEB1-CC8F-4017-A60B-E0BE80F9A4C1}"/>
    <cellStyle name="Comma 1010 3" xfId="3316" xr:uid="{972878BA-3EAF-424A-93F0-3941005BB23E}"/>
    <cellStyle name="Comma 1010 4" xfId="5442" xr:uid="{58DEB174-6757-4E39-A81A-87640394919C}"/>
    <cellStyle name="Comma 1011" xfId="1259" xr:uid="{0DD13077-C331-4F59-A980-3A18661B2D60}"/>
    <cellStyle name="Comma 1011 2" xfId="2289" xr:uid="{B81F9C43-ADC0-40BA-BF5C-9AD843795426}"/>
    <cellStyle name="Comma 1011 2 2" xfId="4347" xr:uid="{0C3F9C5E-07F9-4E22-9086-29CE003D74F7}"/>
    <cellStyle name="Comma 1011 3" xfId="3317" xr:uid="{509FD623-33D3-4DBD-8394-B91EE2760FC5}"/>
    <cellStyle name="Comma 1011 4" xfId="5443" xr:uid="{85424B2E-DE30-43CA-B2FB-AF6C2B576283}"/>
    <cellStyle name="Comma 1012" xfId="1260" xr:uid="{BC60EA7A-C08B-4B92-A776-E04071089B41}"/>
    <cellStyle name="Comma 1012 2" xfId="2290" xr:uid="{88A37581-0198-4FB6-8D22-D9755D7E67DE}"/>
    <cellStyle name="Comma 1012 2 2" xfId="4348" xr:uid="{402E2259-DC12-46D6-9B22-A3A2CC724EF0}"/>
    <cellStyle name="Comma 1012 3" xfId="3318" xr:uid="{17FFFC69-3389-45A4-9587-24C955E60EBF}"/>
    <cellStyle name="Comma 1012 4" xfId="5444" xr:uid="{C8AC3E3B-81AC-4616-9ED9-B563714B0D64}"/>
    <cellStyle name="Comma 1013" xfId="1261" xr:uid="{63EF2F45-5716-44DF-825C-772455C8986E}"/>
    <cellStyle name="Comma 1013 2" xfId="2291" xr:uid="{F5BF0DC9-B0C4-4A2B-883A-AEB3330E6BEC}"/>
    <cellStyle name="Comma 1013 2 2" xfId="4349" xr:uid="{0FFB4F23-B8AB-47D0-BCDF-03675BB9B82A}"/>
    <cellStyle name="Comma 1013 3" xfId="3319" xr:uid="{74780AD3-BDC6-42A5-B57D-4600193A2926}"/>
    <cellStyle name="Comma 1013 4" xfId="5445" xr:uid="{FE538E5A-9071-4741-A333-577F8B1C0080}"/>
    <cellStyle name="Comma 1014" xfId="1262" xr:uid="{6761C714-44FA-4DCB-BE1C-300994589BAE}"/>
    <cellStyle name="Comma 1014 2" xfId="2292" xr:uid="{3DDF3B88-598C-4FCA-913E-2A67A7C0E9F9}"/>
    <cellStyle name="Comma 1014 2 2" xfId="4350" xr:uid="{96585E33-0951-47F9-B0AC-3455E2C4618E}"/>
    <cellStyle name="Comma 1014 3" xfId="3320" xr:uid="{F32F64B2-B02F-4C8D-B8CC-D380C79B3138}"/>
    <cellStyle name="Comma 1014 4" xfId="5446" xr:uid="{97853CD8-636B-4C49-9172-EF9ACB9F9DD8}"/>
    <cellStyle name="Comma 1015" xfId="1263" xr:uid="{B329B2F7-4760-41A3-9117-C406B14B719C}"/>
    <cellStyle name="Comma 1015 2" xfId="2293" xr:uid="{84E83C58-F7B5-42E9-BFB7-4D2A5A52C1FB}"/>
    <cellStyle name="Comma 1015 2 2" xfId="4351" xr:uid="{CE8C30DA-FDFF-4017-8AEE-08AB415A0668}"/>
    <cellStyle name="Comma 1015 3" xfId="3321" xr:uid="{30E8D378-4ACD-48E5-A61E-0DC2AEAEF95A}"/>
    <cellStyle name="Comma 1015 4" xfId="5447" xr:uid="{8FE02ECF-BA98-4A08-9DC9-F6075FF64F6B}"/>
    <cellStyle name="Comma 1016" xfId="1264" xr:uid="{35E0F4F9-D1CC-4553-BDEF-94CD031E085F}"/>
    <cellStyle name="Comma 1016 2" xfId="2294" xr:uid="{8C732791-8966-4014-AB7D-C03C8F132353}"/>
    <cellStyle name="Comma 1016 2 2" xfId="4352" xr:uid="{3A04C736-F49C-4651-8EC6-B2E5D3D57F84}"/>
    <cellStyle name="Comma 1016 3" xfId="3322" xr:uid="{0B7AD7B8-983C-4BED-915B-618FD86A4FDC}"/>
    <cellStyle name="Comma 1016 4" xfId="5448" xr:uid="{0B3A645E-E66A-4BDF-A2DF-6502F0C001E6}"/>
    <cellStyle name="Comma 1017" xfId="1265" xr:uid="{A71AB061-BE7E-48C3-A18A-AEBD36DDA411}"/>
    <cellStyle name="Comma 1017 2" xfId="2295" xr:uid="{2536D02C-015F-40F2-ADD5-CF800FA70C22}"/>
    <cellStyle name="Comma 1017 2 2" xfId="4353" xr:uid="{3E879BF5-000A-4D14-804B-FA910AA7C0FE}"/>
    <cellStyle name="Comma 1017 3" xfId="3323" xr:uid="{42EE3A1D-2056-46D7-8D5B-9FC25283FD71}"/>
    <cellStyle name="Comma 1017 4" xfId="5449" xr:uid="{2DF57D01-11A3-4D9B-ACE9-A08D219A650F}"/>
    <cellStyle name="Comma 1018" xfId="1266" xr:uid="{1502FB31-BC04-48F0-AD61-9FF845186745}"/>
    <cellStyle name="Comma 1018 2" xfId="2296" xr:uid="{57824769-416E-4DF5-A373-32A27FFBF60E}"/>
    <cellStyle name="Comma 1018 2 2" xfId="4354" xr:uid="{E0D183C9-08E1-427C-929D-C06E6B9429DC}"/>
    <cellStyle name="Comma 1018 3" xfId="3324" xr:uid="{254F2D93-D049-45F3-81C8-332E5F8EB09A}"/>
    <cellStyle name="Comma 1018 4" xfId="5450" xr:uid="{A623F689-C7A5-4837-BADB-4A37793F2EFD}"/>
    <cellStyle name="Comma 1019" xfId="1267" xr:uid="{BEC43ECF-5E97-480E-B100-DF299FDE8BE6}"/>
    <cellStyle name="Comma 1019 2" xfId="2297" xr:uid="{2CA5B342-93BB-4146-8C25-08F3D9A166A0}"/>
    <cellStyle name="Comma 1019 2 2" xfId="4355" xr:uid="{DDA72288-A5D6-4457-A217-823B73DCBECB}"/>
    <cellStyle name="Comma 1019 3" xfId="3325" xr:uid="{E796068A-38A5-43E5-9042-2D8333E73A9E}"/>
    <cellStyle name="Comma 1019 4" xfId="5451" xr:uid="{86233C0A-289E-41FD-ACC9-D1F28BB36B20}"/>
    <cellStyle name="Comma 102" xfId="321" xr:uid="{7F6D2BF2-C1E4-438C-8A98-072CFD051583}"/>
    <cellStyle name="Comma 102 2" xfId="1380" xr:uid="{53AFE7D8-14FA-4C46-8C60-353C8BDA016C}"/>
    <cellStyle name="Comma 102 2 2" xfId="3438" xr:uid="{7FAA8EBE-7051-4835-B3CB-9D911E0FDE4E}"/>
    <cellStyle name="Comma 102 3" xfId="2408" xr:uid="{433AAF7B-20A5-4F52-BA58-4E5920F0FABD}"/>
    <cellStyle name="Comma 102 4" xfId="4534" xr:uid="{879EB29A-010C-498A-A728-34258DB46F0D}"/>
    <cellStyle name="Comma 1020" xfId="1268" xr:uid="{7FD5D7B2-38E8-47E0-83E7-BF246786B4F3}"/>
    <cellStyle name="Comma 1020 2" xfId="2298" xr:uid="{AC1B81CB-DB7E-42BE-B527-2A51982C2820}"/>
    <cellStyle name="Comma 1020 2 2" xfId="4356" xr:uid="{0271C537-5CE9-413F-A7D8-20D8199EC598}"/>
    <cellStyle name="Comma 1020 3" xfId="3326" xr:uid="{106AC5B0-E419-462E-A9B1-0313B38B9C86}"/>
    <cellStyle name="Comma 1020 4" xfId="5452" xr:uid="{5B85CDC0-9195-4D76-9756-07CC666C974C}"/>
    <cellStyle name="Comma 1021" xfId="1269" xr:uid="{2A99CC5F-56C0-4B37-B4F3-29161CD7D850}"/>
    <cellStyle name="Comma 1021 2" xfId="2299" xr:uid="{F34A382E-4B94-4345-8915-77DF823C40C1}"/>
    <cellStyle name="Comma 1021 2 2" xfId="4357" xr:uid="{DAA9B4D2-C325-4E56-9DEA-794F06BEF73C}"/>
    <cellStyle name="Comma 1021 3" xfId="3327" xr:uid="{65BE5EE5-E016-4F87-B63B-E4CF3C5077E6}"/>
    <cellStyle name="Comma 1021 4" xfId="5453" xr:uid="{8E518BB0-EBCA-4A15-9BE6-5F44E457D02A}"/>
    <cellStyle name="Comma 1022" xfId="1270" xr:uid="{DBBFC019-46CC-44CF-9BCB-1C67BC5447A9}"/>
    <cellStyle name="Comma 1022 2" xfId="3328" xr:uid="{50DF802E-4AF6-49B5-A05D-5463AE735A7B}"/>
    <cellStyle name="Comma 1023" xfId="4414" xr:uid="{5015F830-FE27-443C-A348-F24786225D55}"/>
    <cellStyle name="Comma 1024" xfId="4415" xr:uid="{BACCC1E1-6D17-47C9-A920-45981EA38067}"/>
    <cellStyle name="Comma 1025" xfId="4416" xr:uid="{AA38180E-6B85-4B80-BB8D-3B3F3160BB99}"/>
    <cellStyle name="Comma 1026" xfId="4417" xr:uid="{BAD99ADF-D919-4940-9660-50CA8C26C7DC}"/>
    <cellStyle name="Comma 1027" xfId="4418" xr:uid="{D38A14E3-BFDB-4F34-BC34-29ABD1E77E80}"/>
    <cellStyle name="Comma 1028" xfId="4419" xr:uid="{F333EB0E-C90B-4110-B498-C52BA6EA4358}"/>
    <cellStyle name="Comma 1029" xfId="4421" xr:uid="{C849BE3A-B248-4D28-B94C-FE8A49F93D2F}"/>
    <cellStyle name="Comma 103" xfId="322" xr:uid="{134AB7E4-DD05-4C02-B61D-6295723FD610}"/>
    <cellStyle name="Comma 103 2" xfId="1381" xr:uid="{B976477E-256F-4754-B813-E68F17AD136E}"/>
    <cellStyle name="Comma 103 2 2" xfId="3439" xr:uid="{033BF25E-B3AF-4111-861A-C68024D0D259}"/>
    <cellStyle name="Comma 103 3" xfId="2409" xr:uid="{F60A78EC-1EAE-4062-A2EB-B0FF9DE5947D}"/>
    <cellStyle name="Comma 103 4" xfId="4535" xr:uid="{9E3013D1-9737-4358-AAB2-C93851941C7A}"/>
    <cellStyle name="Comma 1030" xfId="4422" xr:uid="{A4643C6E-B0B1-4DEB-BB0E-F47F306BC92F}"/>
    <cellStyle name="Comma 1031" xfId="4423" xr:uid="{FD530AC7-61EB-4BE2-93BA-BB4B2A38DB9B}"/>
    <cellStyle name="Comma 1032" xfId="4424" xr:uid="{F607D93F-CA41-4DE1-B0C3-7944B0074125}"/>
    <cellStyle name="Comma 1033" xfId="4425" xr:uid="{98DFA2CC-61A2-40EB-BC6D-4A593E8C158B}"/>
    <cellStyle name="Comma 1034" xfId="5454" xr:uid="{089383CA-D0C2-4434-B42D-99F638921867}"/>
    <cellStyle name="Comma 1035" xfId="5455" xr:uid="{EB01B34E-012F-4B41-9BAE-9208215DA715}"/>
    <cellStyle name="Comma 1036" xfId="5456" xr:uid="{4853C763-1F91-45F2-B8A7-5EB2CA9E90E9}"/>
    <cellStyle name="Comma 1037" xfId="5457" xr:uid="{9B508437-C2E3-4D6A-9881-2ED3693AC6FA}"/>
    <cellStyle name="Comma 1038" xfId="5458" xr:uid="{AA173299-CE71-41E8-ABF7-912BF958D8A6}"/>
    <cellStyle name="Comma 1039" xfId="5459" xr:uid="{87E9A88F-087D-4EEB-99F9-B6CC0A711316}"/>
    <cellStyle name="Comma 104" xfId="323" xr:uid="{9F5E83DF-4C41-478C-AFBC-89B4913F1655}"/>
    <cellStyle name="Comma 104 2" xfId="1382" xr:uid="{551D8A63-8BD4-4029-B248-5D9B6B39154E}"/>
    <cellStyle name="Comma 104 2 2" xfId="3440" xr:uid="{91B8795C-E082-4080-BB8D-A8E6D1207BCB}"/>
    <cellStyle name="Comma 104 3" xfId="2410" xr:uid="{150A34CC-0EFF-4CDB-93CE-0174DF8B45FE}"/>
    <cellStyle name="Comma 104 4" xfId="4536" xr:uid="{ADF61121-E365-43B4-856B-DF110B3E96DC}"/>
    <cellStyle name="Comma 1040" xfId="5460" xr:uid="{C1CDE3AF-6C42-40A4-A830-B045CB152D8D}"/>
    <cellStyle name="Comma 1041" xfId="5461" xr:uid="{1D9E56D4-CAB9-4513-A5AD-78BFD0AB18BC}"/>
    <cellStyle name="Comma 1042" xfId="5462" xr:uid="{399C54C2-D316-46CE-A002-97FBA15A13A8}"/>
    <cellStyle name="Comma 1043" xfId="5463" xr:uid="{DFCE0AB9-6F55-4925-83C8-AA9836656CD9}"/>
    <cellStyle name="Comma 1044" xfId="5464" xr:uid="{9F60B737-9FE0-4B85-A883-F517EB1201A4}"/>
    <cellStyle name="Comma 1045" xfId="5465" xr:uid="{2B63C518-3F18-4AF8-85EB-FDFA24B05DF4}"/>
    <cellStyle name="Comma 1046" xfId="5466" xr:uid="{5AFE10BD-5E1F-4C99-A272-1B05C0AE7B1E}"/>
    <cellStyle name="Comma 1047" xfId="5467" xr:uid="{2231C96B-844D-44C8-B54B-712B871FEB27}"/>
    <cellStyle name="Comma 1048" xfId="5468" xr:uid="{B753660E-6B7A-4CEC-B55D-1D3B678F5647}"/>
    <cellStyle name="Comma 1049" xfId="5469" xr:uid="{B1E668D2-E5E2-4490-A4A2-7E925B1B84FA}"/>
    <cellStyle name="Comma 105" xfId="324" xr:uid="{FAED76FF-8ADC-4876-AD72-F0BB49C3C730}"/>
    <cellStyle name="Comma 105 2" xfId="1383" xr:uid="{32052CB3-6B78-4542-8B22-BC5F9B718B03}"/>
    <cellStyle name="Comma 105 2 2" xfId="3441" xr:uid="{1CEA8264-7C4D-49E7-8A57-CA01C3ADF8FA}"/>
    <cellStyle name="Comma 105 3" xfId="2411" xr:uid="{86ED2DAE-7B17-41C2-9B77-DCA32DFDCC16}"/>
    <cellStyle name="Comma 105 4" xfId="4537" xr:uid="{B63A7EA3-999B-4764-9073-0DEFB6C1D47D}"/>
    <cellStyle name="Comma 1050" xfId="5470" xr:uid="{D92AC5C4-088B-4121-A06E-0F81EE7A4C82}"/>
    <cellStyle name="Comma 1051" xfId="5471" xr:uid="{FD881562-DF42-4A4C-A8B6-6B53FF442CDC}"/>
    <cellStyle name="Comma 106" xfId="325" xr:uid="{9CCE8664-E4BF-4944-8D27-6BB2E9D5E435}"/>
    <cellStyle name="Comma 106 2" xfId="1384" xr:uid="{6E706FDA-AD22-4FC9-9999-38ACC46C7274}"/>
    <cellStyle name="Comma 106 2 2" xfId="3442" xr:uid="{E5860E82-7F0C-4983-AE2B-7537CD3E4952}"/>
    <cellStyle name="Comma 106 3" xfId="2412" xr:uid="{197DAD20-6612-4C5B-B180-CE937F9BD7F0}"/>
    <cellStyle name="Comma 106 4" xfId="4538" xr:uid="{40F8595A-A1C7-4D82-86C2-34E2783A00C2}"/>
    <cellStyle name="Comma 107" xfId="326" xr:uid="{6B4E2647-E3FE-4E21-9C19-51A6812982C9}"/>
    <cellStyle name="Comma 107 2" xfId="1385" xr:uid="{2FA9F292-E7FC-4D1F-9A9F-E1562C5D80B2}"/>
    <cellStyle name="Comma 107 2 2" xfId="3443" xr:uid="{8A8AB8BA-B1FE-4EC8-A2B2-D97A96ED6504}"/>
    <cellStyle name="Comma 107 3" xfId="2413" xr:uid="{28C2750C-C5D3-4B46-AFD1-A42459284953}"/>
    <cellStyle name="Comma 107 4" xfId="4539" xr:uid="{3DE1BAEA-ED5C-48B5-9898-9DDF8D0533E5}"/>
    <cellStyle name="Comma 108" xfId="327" xr:uid="{C15D873C-6A2C-47CF-97E3-595E69653678}"/>
    <cellStyle name="Comma 108 2" xfId="1386" xr:uid="{7265E21B-C276-4444-8A65-08A3FBDC3139}"/>
    <cellStyle name="Comma 108 2 2" xfId="3444" xr:uid="{FC2A29FD-E728-4389-814C-EC798ECB7275}"/>
    <cellStyle name="Comma 108 3" xfId="2414" xr:uid="{33F746D1-D92B-418C-9AD4-F8274B91EA2E}"/>
    <cellStyle name="Comma 108 4" xfId="4540" xr:uid="{51313FB1-D5E7-4B44-9AE9-F9978AF22BE5}"/>
    <cellStyle name="Comma 109" xfId="328" xr:uid="{ABD97F2D-C669-4A5D-B214-871D7E041E04}"/>
    <cellStyle name="Comma 109 2" xfId="1387" xr:uid="{682F7C95-2523-4CF5-A4E7-C7D96E8EE426}"/>
    <cellStyle name="Comma 109 2 2" xfId="3445" xr:uid="{97552E4C-88C2-453C-8250-CD1674653FE4}"/>
    <cellStyle name="Comma 109 3" xfId="2415" xr:uid="{7883BE86-5196-4EB5-BE88-4C842ABC7DD8}"/>
    <cellStyle name="Comma 109 4" xfId="4541" xr:uid="{DDC4B66E-1709-45CD-8B02-3AEF8F9ED7B8}"/>
    <cellStyle name="Comma 11" xfId="203" xr:uid="{E767EF01-1ECC-4A3E-9A7E-22C77856C7DD}"/>
    <cellStyle name="Comma 11 2" xfId="1289" xr:uid="{8A380D2D-3F43-4876-899A-01DB9B73E333}"/>
    <cellStyle name="Comma 11 2 2" xfId="3347" xr:uid="{5004DF30-FD31-40C5-BC1F-16F713A33586}"/>
    <cellStyle name="Comma 11 3" xfId="2317" xr:uid="{BD8B3A65-BB7B-401B-815D-C685121B93D2}"/>
    <cellStyle name="Comma 11 4" xfId="4443" xr:uid="{3CEE7E51-7D5A-4AD3-97AA-5E87ED0E574D}"/>
    <cellStyle name="Comma 110" xfId="329" xr:uid="{95DF574B-DFB6-4E31-9102-700EF9DEE7F3}"/>
    <cellStyle name="Comma 110 2" xfId="1388" xr:uid="{8DF32020-F1C0-43BA-A856-E0D36B02E899}"/>
    <cellStyle name="Comma 110 2 2" xfId="3446" xr:uid="{447403E2-BA26-4F15-B4A7-F5B2E8790B26}"/>
    <cellStyle name="Comma 110 3" xfId="2416" xr:uid="{946E5A98-CA75-41A8-AF4C-CDF20A569641}"/>
    <cellStyle name="Comma 110 4" xfId="4542" xr:uid="{94C8E1DD-23E7-49A2-8C97-4BDE6C6C31A7}"/>
    <cellStyle name="Comma 111" xfId="330" xr:uid="{834D71A1-DE33-4698-957B-1A45C606EF46}"/>
    <cellStyle name="Comma 111 2" xfId="1389" xr:uid="{C45C0037-C9C9-40D6-8345-ABB1888D085A}"/>
    <cellStyle name="Comma 111 2 2" xfId="3447" xr:uid="{F52D5DCA-DDCA-4FDC-A0A2-E5C61D75B32A}"/>
    <cellStyle name="Comma 111 3" xfId="2417" xr:uid="{74A316BA-95C1-43C5-8B5E-ECAA9874A829}"/>
    <cellStyle name="Comma 111 4" xfId="4543" xr:uid="{2AAC9F4F-91C2-4F13-8A9B-062D8E2C0ACE}"/>
    <cellStyle name="Comma 112" xfId="331" xr:uid="{7D2CF8C1-944E-4B64-8D78-C354C7E86907}"/>
    <cellStyle name="Comma 112 2" xfId="1390" xr:uid="{8C908F9D-0E75-4515-A0D1-A8094E9271AF}"/>
    <cellStyle name="Comma 112 2 2" xfId="3448" xr:uid="{3E791525-96FC-4B30-BE76-DFE7577F5888}"/>
    <cellStyle name="Comma 112 3" xfId="2418" xr:uid="{FB7217BB-606E-4FCC-A147-BB37B85C012B}"/>
    <cellStyle name="Comma 112 4" xfId="4544" xr:uid="{119D2871-B340-4794-B44B-CA72C63BB10E}"/>
    <cellStyle name="Comma 113" xfId="332" xr:uid="{29B787A8-031D-4E0D-8E63-0A58CF782696}"/>
    <cellStyle name="Comma 113 2" xfId="1391" xr:uid="{75157A0C-8E2A-4E90-9A3C-82FE7D02E01D}"/>
    <cellStyle name="Comma 113 2 2" xfId="3449" xr:uid="{EE70C3F7-362F-4449-9E78-A3E011E585DE}"/>
    <cellStyle name="Comma 113 3" xfId="2419" xr:uid="{481EF0F8-7DFB-4ECA-BD5D-033129B87D12}"/>
    <cellStyle name="Comma 113 4" xfId="4545" xr:uid="{512558A7-9A5C-4326-A118-6F8B78DC1F4A}"/>
    <cellStyle name="Comma 114" xfId="333" xr:uid="{C2591185-8CD9-42B9-841B-7C714F1A81F5}"/>
    <cellStyle name="Comma 114 2" xfId="1392" xr:uid="{6A8A3248-16AF-4210-BF11-6B99E12560F8}"/>
    <cellStyle name="Comma 114 2 2" xfId="3450" xr:uid="{29C49FF6-E51D-4C1C-B285-4969DC725E76}"/>
    <cellStyle name="Comma 114 3" xfId="2420" xr:uid="{7D633B02-5A71-43DF-9649-9F2EC80A1F11}"/>
    <cellStyle name="Comma 114 4" xfId="4546" xr:uid="{D5791B81-5E59-4725-81AD-F9E956AF9FFB}"/>
    <cellStyle name="Comma 115" xfId="334" xr:uid="{47899B8B-D024-4727-9569-6727CA3353BA}"/>
    <cellStyle name="Comma 115 2" xfId="1393" xr:uid="{059670D9-34A2-488C-87C5-39C3256ADEA2}"/>
    <cellStyle name="Comma 115 2 2" xfId="3451" xr:uid="{454541F0-7DF3-4CF2-8C24-4EB8684C9265}"/>
    <cellStyle name="Comma 115 3" xfId="2421" xr:uid="{B8ED85C9-051E-4638-817B-66DCC5B0DE50}"/>
    <cellStyle name="Comma 115 4" xfId="4547" xr:uid="{90B736FF-6A28-449A-A275-7C23F483669B}"/>
    <cellStyle name="Comma 116" xfId="335" xr:uid="{8120C5BB-A255-41E5-B446-AF634242F9AD}"/>
    <cellStyle name="Comma 116 2" xfId="1394" xr:uid="{418A549B-8A35-4553-91E4-4CF69EB37F5D}"/>
    <cellStyle name="Comma 116 2 2" xfId="3452" xr:uid="{74C7523B-2850-4CF2-8BEC-98EABA022A02}"/>
    <cellStyle name="Comma 116 3" xfId="2422" xr:uid="{362FDB9E-926E-40BE-8B6F-130EC9501FCD}"/>
    <cellStyle name="Comma 116 4" xfId="4548" xr:uid="{61AB43D6-2D9C-4A65-BF26-19A13519DEFB}"/>
    <cellStyle name="Comma 117" xfId="336" xr:uid="{655B06A7-667E-4CD8-8A8B-2F79EC8DCD10}"/>
    <cellStyle name="Comma 117 2" xfId="1395" xr:uid="{0FB00C6A-FAC2-4BA3-B9C7-F32BBA10AE9D}"/>
    <cellStyle name="Comma 117 2 2" xfId="3453" xr:uid="{9BAE6D0F-FDD1-4E4A-BCFE-7CDDFF2CA9E2}"/>
    <cellStyle name="Comma 117 3" xfId="2423" xr:uid="{F4E37CDC-7AD9-4FD9-8CF4-B769DF61A706}"/>
    <cellStyle name="Comma 117 4" xfId="4549" xr:uid="{ED03D858-62DD-4B4D-BEB1-1511A05CA28F}"/>
    <cellStyle name="Comma 118" xfId="337" xr:uid="{F2914590-1F3B-474F-B511-518CE32FEC4A}"/>
    <cellStyle name="Comma 118 2" xfId="1396" xr:uid="{C2D3D735-3869-4E21-AA4A-2B94C74C86DA}"/>
    <cellStyle name="Comma 118 2 2" xfId="3454" xr:uid="{6B1C0F51-80AA-410A-B701-EE7C35FB1DF2}"/>
    <cellStyle name="Comma 118 3" xfId="2424" xr:uid="{67776558-B3FA-4475-A80F-2E464C64FF6A}"/>
    <cellStyle name="Comma 118 4" xfId="4550" xr:uid="{DC615FC1-6E7A-490A-908F-E1B98AED3A34}"/>
    <cellStyle name="Comma 119" xfId="338" xr:uid="{1846FCB5-FF03-48AA-A9A0-C46509BD3D15}"/>
    <cellStyle name="Comma 119 2" xfId="1397" xr:uid="{E5711730-C57C-4653-A573-516FDADB6B43}"/>
    <cellStyle name="Comma 119 2 2" xfId="3455" xr:uid="{1819F3D9-C416-4E0D-B6A6-453684763EB4}"/>
    <cellStyle name="Comma 119 3" xfId="2425" xr:uid="{8563AB55-E096-4D3F-9BD5-25F69529B0CA}"/>
    <cellStyle name="Comma 119 4" xfId="4551" xr:uid="{279FA778-94DC-4803-97E9-B116E58171F7}"/>
    <cellStyle name="Comma 12" xfId="204" xr:uid="{0557B2DC-0954-4661-A62B-274E7AC82324}"/>
    <cellStyle name="Comma 12 2" xfId="1290" xr:uid="{3BDBAF6E-359A-4E3A-BDA8-C45BAE931028}"/>
    <cellStyle name="Comma 12 2 2" xfId="3348" xr:uid="{8E76701D-2C84-46A6-8FC9-37B7DEB1F5F7}"/>
    <cellStyle name="Comma 12 3" xfId="2318" xr:uid="{E7AC0F0C-39B2-4637-BA74-FE1DAE2A1DF4}"/>
    <cellStyle name="Comma 12 4" xfId="4444" xr:uid="{5A11BE60-A701-42DA-8720-74326EB51AA2}"/>
    <cellStyle name="Comma 120" xfId="339" xr:uid="{D9BD5642-AB9B-4F9C-907B-5E1588BB5CAC}"/>
    <cellStyle name="Comma 120 2" xfId="1398" xr:uid="{5D47F4AA-063F-4F6B-B20C-9B5CEE7CD2F5}"/>
    <cellStyle name="Comma 120 2 2" xfId="3456" xr:uid="{0F1E98E0-F0F2-444E-90CB-70D05EA386D0}"/>
    <cellStyle name="Comma 120 3" xfId="2426" xr:uid="{9955CEE9-29D6-47D5-90BD-05395E98E011}"/>
    <cellStyle name="Comma 120 4" xfId="4552" xr:uid="{83058A1B-5F77-4E2B-ABCE-8B229BA59D51}"/>
    <cellStyle name="Comma 121" xfId="340" xr:uid="{A3068673-7DEB-4561-AA2A-1681992AE43F}"/>
    <cellStyle name="Comma 121 2" xfId="1399" xr:uid="{2B10F7F5-1C85-4443-B5B0-3EFA6223ABE6}"/>
    <cellStyle name="Comma 121 2 2" xfId="3457" xr:uid="{E965AA35-A1BC-43C3-8A74-5E94380F447F}"/>
    <cellStyle name="Comma 121 3" xfId="2427" xr:uid="{0478A1AD-2A2D-4D8F-ABE1-BDA9F6F39825}"/>
    <cellStyle name="Comma 121 4" xfId="4553" xr:uid="{B37D70F7-71BC-4832-98C8-D714DF8ACEF9}"/>
    <cellStyle name="Comma 122" xfId="341" xr:uid="{8C9E2A76-DEF9-4D68-B8CE-63C3D02C4638}"/>
    <cellStyle name="Comma 122 2" xfId="1400" xr:uid="{3BC69A0A-185E-4E0D-8C15-D8FDDE700285}"/>
    <cellStyle name="Comma 122 2 2" xfId="3458" xr:uid="{6370214A-C370-4F15-A811-FC714E0DC382}"/>
    <cellStyle name="Comma 122 3" xfId="2428" xr:uid="{5CC7487B-451F-406A-A097-FB82298444C3}"/>
    <cellStyle name="Comma 122 4" xfId="4554" xr:uid="{930F7C74-3D24-4257-99BC-DB5E807A0384}"/>
    <cellStyle name="Comma 123" xfId="342" xr:uid="{3D213755-9133-4657-B785-B1D85B363285}"/>
    <cellStyle name="Comma 123 2" xfId="1401" xr:uid="{3EB3289B-2A6C-4A80-BDAC-BA9815E73A51}"/>
    <cellStyle name="Comma 123 2 2" xfId="3459" xr:uid="{834C82E5-3DD5-43EF-B2B2-008443F0FFBB}"/>
    <cellStyle name="Comma 123 3" xfId="2429" xr:uid="{313FE122-0EC5-44A2-9146-D72F994994B9}"/>
    <cellStyle name="Comma 123 4" xfId="4555" xr:uid="{75E0410F-1B7B-418C-B3E8-2DEF7D26F25B}"/>
    <cellStyle name="Comma 124" xfId="343" xr:uid="{B209A98D-2B20-4361-8EDC-033DAFA99240}"/>
    <cellStyle name="Comma 124 2" xfId="1402" xr:uid="{4ABC0D21-2F05-4521-BFC1-A8C262FB944B}"/>
    <cellStyle name="Comma 124 2 2" xfId="3460" xr:uid="{A46A7ABF-1198-4983-B22A-3F53F2016AF3}"/>
    <cellStyle name="Comma 124 3" xfId="2430" xr:uid="{0D0C61FE-2435-4ABA-834A-B1C199AA4F23}"/>
    <cellStyle name="Comma 124 4" xfId="4556" xr:uid="{DBED6134-C20C-4EA4-8425-F4348551D863}"/>
    <cellStyle name="Comma 125" xfId="344" xr:uid="{5E08709D-0304-4BE7-858D-115D4DDAA3F9}"/>
    <cellStyle name="Comma 125 2" xfId="1403" xr:uid="{E06D8FA8-6ED4-413C-B1D8-703218435899}"/>
    <cellStyle name="Comma 125 2 2" xfId="3461" xr:uid="{51D7B113-8F86-4021-B73E-FFA40A7676B6}"/>
    <cellStyle name="Comma 125 3" xfId="2431" xr:uid="{DF3D7C20-9AEA-46A8-973C-4FDB6983899A}"/>
    <cellStyle name="Comma 125 4" xfId="4557" xr:uid="{A36BC174-5D42-4B6D-A7F4-07CF0FA13E65}"/>
    <cellStyle name="Comma 126" xfId="345" xr:uid="{24B99720-DF56-49A1-BCEE-8F14CDF8F596}"/>
    <cellStyle name="Comma 126 2" xfId="1404" xr:uid="{B7FE4E9A-501C-4303-ADB9-376FBB9B67BD}"/>
    <cellStyle name="Comma 126 2 2" xfId="3462" xr:uid="{5E666C02-4F69-4206-9456-0106ED69D599}"/>
    <cellStyle name="Comma 126 3" xfId="2432" xr:uid="{9194B9D5-6D28-4743-B55E-D75C0CE37F67}"/>
    <cellStyle name="Comma 126 4" xfId="4558" xr:uid="{797D8588-0D15-4FC2-9155-2407A8E6AD48}"/>
    <cellStyle name="Comma 127" xfId="346" xr:uid="{7C944223-FEA6-4A87-94F1-F27C96BA8F95}"/>
    <cellStyle name="Comma 127 2" xfId="1405" xr:uid="{5F2FEE0B-0627-4481-9201-04525471F9F3}"/>
    <cellStyle name="Comma 127 2 2" xfId="3463" xr:uid="{D4EEA395-2BD1-4DF3-8F8D-F3F47B0DAC4C}"/>
    <cellStyle name="Comma 127 3" xfId="2433" xr:uid="{8427D98B-ACEE-4C04-8CB6-56583F9BE910}"/>
    <cellStyle name="Comma 127 4" xfId="4559" xr:uid="{B2643823-712B-4A7F-AC93-1782622CE643}"/>
    <cellStyle name="Comma 128" xfId="347" xr:uid="{A66866B2-A832-4CAD-A813-08EBEC4BB15D}"/>
    <cellStyle name="Comma 128 2" xfId="1406" xr:uid="{E675DFE7-9D5A-495E-AFFB-E16B4559A54E}"/>
    <cellStyle name="Comma 128 2 2" xfId="3464" xr:uid="{26C49E9C-EE32-4A3B-AFB9-5AEC1A95F6E9}"/>
    <cellStyle name="Comma 128 3" xfId="2434" xr:uid="{557BC27A-CE06-4A50-A9A0-F24466F19970}"/>
    <cellStyle name="Comma 128 4" xfId="4560" xr:uid="{27694665-5B81-41D5-939A-DC3C9E3BB4D8}"/>
    <cellStyle name="Comma 129" xfId="348" xr:uid="{D6633D34-9A44-4D2F-9425-C8A35FE8E1E6}"/>
    <cellStyle name="Comma 129 2" xfId="1407" xr:uid="{90833BDB-4007-42E1-A7F6-460419C83C2D}"/>
    <cellStyle name="Comma 129 2 2" xfId="3465" xr:uid="{FD417BBE-12E7-499C-A26F-0655F7BA027E}"/>
    <cellStyle name="Comma 129 3" xfId="2435" xr:uid="{3EC13081-028C-47AE-A6ED-0DC8BF95B943}"/>
    <cellStyle name="Comma 129 4" xfId="4561" xr:uid="{D56F63FB-D01B-4A21-A88A-F135A72E8B6D}"/>
    <cellStyle name="Comma 13" xfId="205" xr:uid="{97B42E2D-4B70-4D02-890B-29A25E073559}"/>
    <cellStyle name="Comma 13 2" xfId="1291" xr:uid="{7C07C47A-A908-4163-A444-B549B6244506}"/>
    <cellStyle name="Comma 13 2 2" xfId="3349" xr:uid="{EB31747E-6858-4DFF-B1FA-0B351C0D21CE}"/>
    <cellStyle name="Comma 13 3" xfId="2319" xr:uid="{429E9342-1315-4D16-8837-193639FB6078}"/>
    <cellStyle name="Comma 13 4" xfId="4445" xr:uid="{2E1B5D7E-BF08-42FE-AC72-7B3CC8EB2205}"/>
    <cellStyle name="Comma 130" xfId="349" xr:uid="{3D403E5C-DFC6-4C8B-AD5D-3C618AD1C2C2}"/>
    <cellStyle name="Comma 130 2" xfId="1408" xr:uid="{6CD7906F-6C41-4D99-A7E0-F8316821A6B7}"/>
    <cellStyle name="Comma 130 2 2" xfId="3466" xr:uid="{0869C333-31C3-4B5E-A44C-D651D4552894}"/>
    <cellStyle name="Comma 130 3" xfId="2436" xr:uid="{1E13B266-3519-430F-896F-C0462394C4C8}"/>
    <cellStyle name="Comma 130 4" xfId="4562" xr:uid="{18B0C9C2-13E0-4201-A26E-5BC1E60F1E16}"/>
    <cellStyle name="Comma 131" xfId="350" xr:uid="{5D61765E-8D4F-4D29-9BEC-BAD8CCFDE9A5}"/>
    <cellStyle name="Comma 131 2" xfId="1409" xr:uid="{D84B79F0-255A-48CB-939A-8B7E03FB3671}"/>
    <cellStyle name="Comma 131 2 2" xfId="3467" xr:uid="{4EC705DE-69CA-47DF-961F-9FB442146198}"/>
    <cellStyle name="Comma 131 3" xfId="2437" xr:uid="{B5E54089-685F-48E2-96B3-B0FABA948194}"/>
    <cellStyle name="Comma 131 4" xfId="4563" xr:uid="{86DA05ED-2826-4478-8490-09B244484F38}"/>
    <cellStyle name="Comma 132" xfId="351" xr:uid="{505981E3-05B5-4B90-99FB-D889C72992ED}"/>
    <cellStyle name="Comma 132 2" xfId="1410" xr:uid="{F803A6EC-B795-42D7-AF9B-41976BA46D5E}"/>
    <cellStyle name="Comma 132 2 2" xfId="3468" xr:uid="{6FD39093-E7DD-4FFA-8FEE-E597D660BB15}"/>
    <cellStyle name="Comma 132 3" xfId="2438" xr:uid="{8350010C-12FF-48B4-BE35-5186E8250B87}"/>
    <cellStyle name="Comma 132 4" xfId="4564" xr:uid="{A7F954EB-A631-4CE3-BC64-4EFA8F6CDD77}"/>
    <cellStyle name="Comma 133" xfId="352" xr:uid="{1C502EBA-6353-40BA-AD5A-C28B899568B8}"/>
    <cellStyle name="Comma 133 2" xfId="1411" xr:uid="{65258375-98D3-4A3C-93A5-A46B989A1B77}"/>
    <cellStyle name="Comma 133 2 2" xfId="3469" xr:uid="{19F43B5B-C274-421F-9D64-CAEB624A1747}"/>
    <cellStyle name="Comma 133 3" xfId="2439" xr:uid="{E8C13517-0569-443C-BF2F-9A97DAA09757}"/>
    <cellStyle name="Comma 133 4" xfId="4565" xr:uid="{54EB4134-7EC9-4F25-9F56-BAE829C49EE6}"/>
    <cellStyle name="Comma 134" xfId="353" xr:uid="{F98875C7-7571-4A8A-8CE7-3A6AD252CE20}"/>
    <cellStyle name="Comma 134 2" xfId="1412" xr:uid="{923CB61E-5954-402F-8572-1A6E64443F60}"/>
    <cellStyle name="Comma 134 2 2" xfId="3470" xr:uid="{548786C3-973B-4791-BCD3-B3EED5F8B4F7}"/>
    <cellStyle name="Comma 134 3" xfId="2440" xr:uid="{717D56E8-2ED8-49EF-86F1-1D108FB33C15}"/>
    <cellStyle name="Comma 134 4" xfId="4566" xr:uid="{90BD98B8-C875-42B5-85A4-15869EA50E6C}"/>
    <cellStyle name="Comma 135" xfId="354" xr:uid="{159DB37D-5C44-4BE8-AB16-C3814EBEE0C6}"/>
    <cellStyle name="Comma 135 2" xfId="1413" xr:uid="{8349391C-1C16-4826-A44B-B3CC417997EE}"/>
    <cellStyle name="Comma 135 2 2" xfId="3471" xr:uid="{DA5818C3-EA6B-4771-90B4-2D9768C93DCF}"/>
    <cellStyle name="Comma 135 3" xfId="2441" xr:uid="{17E420BA-21A8-4A8C-8C22-B38A70F3C36B}"/>
    <cellStyle name="Comma 135 4" xfId="4567" xr:uid="{108FB822-425C-44CD-BA0E-242311E93BD6}"/>
    <cellStyle name="Comma 136" xfId="355" xr:uid="{90CCF795-D6C1-41AD-A393-8BB96129B5E8}"/>
    <cellStyle name="Comma 136 2" xfId="1414" xr:uid="{4B43936E-6A18-4766-98D9-38BA1BA5FC2F}"/>
    <cellStyle name="Comma 136 2 2" xfId="3472" xr:uid="{B488214B-3557-4AF7-A964-523AD365256F}"/>
    <cellStyle name="Comma 136 3" xfId="2442" xr:uid="{822E6AB3-8D60-45B1-AD1E-74739ACF0FBB}"/>
    <cellStyle name="Comma 136 4" xfId="4568" xr:uid="{E40F3482-1389-4EB5-A688-4D8D6500C206}"/>
    <cellStyle name="Comma 137" xfId="356" xr:uid="{CAEF1B86-6947-41F9-A581-7B3591A4DB70}"/>
    <cellStyle name="Comma 137 2" xfId="1415" xr:uid="{0160F9DC-DF05-4DE9-943B-99DEB4C566F7}"/>
    <cellStyle name="Comma 137 2 2" xfId="3473" xr:uid="{FAD38006-DF64-46B1-B32A-6F5DB0073CA4}"/>
    <cellStyle name="Comma 137 3" xfId="2443" xr:uid="{068C0499-E1E7-4ECD-B51D-E9111AE67790}"/>
    <cellStyle name="Comma 137 4" xfId="4569" xr:uid="{B01792D1-D1EF-41C1-8595-7FC9FECF26D8}"/>
    <cellStyle name="Comma 138" xfId="357" xr:uid="{FA46FB02-91DF-49A0-9AEF-DBB11F24A041}"/>
    <cellStyle name="Comma 138 2" xfId="1416" xr:uid="{6BE97467-D4A8-44EE-8F7F-C738E8EF95E8}"/>
    <cellStyle name="Comma 138 2 2" xfId="3474" xr:uid="{406EED61-D72B-49ED-B4AF-C24825F5D319}"/>
    <cellStyle name="Comma 138 3" xfId="2444" xr:uid="{E5C018E2-5D58-4705-83DA-E961C5ED55D4}"/>
    <cellStyle name="Comma 138 4" xfId="4570" xr:uid="{4BC5A152-1E5D-4430-9770-B087918C9700}"/>
    <cellStyle name="Comma 139" xfId="361" xr:uid="{676C177C-6FFB-4D99-92EE-792B425AAA4A}"/>
    <cellStyle name="Comma 139 2" xfId="1417" xr:uid="{634C521A-73B4-4BB4-A095-158525BE4575}"/>
    <cellStyle name="Comma 139 2 2" xfId="3475" xr:uid="{8BA50F58-0AE0-4F64-A412-3BE3361FFCEA}"/>
    <cellStyle name="Comma 139 3" xfId="2445" xr:uid="{A6EFF9F6-34FD-4B15-99FF-5DE76BBBF5A3}"/>
    <cellStyle name="Comma 139 4" xfId="4571" xr:uid="{B5A1CD50-9B8B-48A2-985F-583185CDA79B}"/>
    <cellStyle name="Comma 14" xfId="206" xr:uid="{4EDB21B3-7FC9-4E44-AA46-DEEC61C3C970}"/>
    <cellStyle name="Comma 14 2" xfId="1292" xr:uid="{9E0737E1-240B-4E48-93CF-161EACCA0B1E}"/>
    <cellStyle name="Comma 14 2 2" xfId="3350" xr:uid="{F31EB82E-9272-4777-9D69-74C2704CF76D}"/>
    <cellStyle name="Comma 14 3" xfId="2320" xr:uid="{BE90FD07-EE80-41BF-9C0A-A2854307D678}"/>
    <cellStyle name="Comma 14 4" xfId="4446" xr:uid="{83E8FDE7-8933-475C-98DF-8D6CB42F19D8}"/>
    <cellStyle name="Comma 140" xfId="362" xr:uid="{3BCCB128-78FF-497C-81CC-C67CAAB178FD}"/>
    <cellStyle name="Comma 140 2" xfId="1418" xr:uid="{08613022-4A89-4FCD-8758-1421A06133AA}"/>
    <cellStyle name="Comma 140 2 2" xfId="3476" xr:uid="{CFB4BA9D-DDAC-4137-9635-447EDECA6DD8}"/>
    <cellStyle name="Comma 140 3" xfId="2446" xr:uid="{D5DD1559-351B-4738-9622-8C9EEE91F8CF}"/>
    <cellStyle name="Comma 140 4" xfId="4572" xr:uid="{F0D68277-21B1-4B24-ADB3-541F92E93ADD}"/>
    <cellStyle name="Comma 141" xfId="363" xr:uid="{4107044C-5C0C-43FA-AC64-1AC8217E23ED}"/>
    <cellStyle name="Comma 141 2" xfId="1419" xr:uid="{8333661C-AE1B-4607-8C1D-561E37FE2468}"/>
    <cellStyle name="Comma 141 2 2" xfId="3477" xr:uid="{8B9EE51F-6154-42D4-B71A-CDAA505DE69C}"/>
    <cellStyle name="Comma 141 3" xfId="2447" xr:uid="{2267A37E-6C67-43F1-8EAD-440E6A6E593C}"/>
    <cellStyle name="Comma 141 4" xfId="4573" xr:uid="{154B191E-177F-4895-B07E-E04D0E41BE64}"/>
    <cellStyle name="Comma 142" xfId="364" xr:uid="{0D727CFB-0DEF-4D78-8EBB-3093D8CB1F70}"/>
    <cellStyle name="Comma 142 2" xfId="1420" xr:uid="{D44AC268-CFC5-4017-966D-7C0FB6DA9AF8}"/>
    <cellStyle name="Comma 142 2 2" xfId="3478" xr:uid="{4B017352-EE49-4306-A814-BB26F8654D58}"/>
    <cellStyle name="Comma 142 3" xfId="2448" xr:uid="{135B73A0-E240-4393-A4B6-29C1209B21D2}"/>
    <cellStyle name="Comma 142 4" xfId="4574" xr:uid="{0CC0989A-5C92-471F-8235-7F128E94FC2F}"/>
    <cellStyle name="Comma 143" xfId="365" xr:uid="{D792C109-F5C8-4C1B-8F99-C69F22471BCC}"/>
    <cellStyle name="Comma 143 2" xfId="1421" xr:uid="{367191DA-B95C-43AA-8B73-E73EC9FD735B}"/>
    <cellStyle name="Comma 143 2 2" xfId="3479" xr:uid="{39E02C3C-7C46-4CF5-A3B2-73823D661C80}"/>
    <cellStyle name="Comma 143 3" xfId="2449" xr:uid="{BEE64EA3-0CF7-4FFE-87C8-EB94608E00A8}"/>
    <cellStyle name="Comma 143 4" xfId="4575" xr:uid="{27FD36B3-A965-4792-B252-7D9A418C0DF1}"/>
    <cellStyle name="Comma 144" xfId="366" xr:uid="{22E4AB0D-A9EC-41F7-80FF-49612A191AB2}"/>
    <cellStyle name="Comma 144 2" xfId="1422" xr:uid="{67B11862-722A-4D10-BED5-02D57C971549}"/>
    <cellStyle name="Comma 144 2 2" xfId="3480" xr:uid="{390475C5-EB4E-4D3B-B211-5F3808EAC4FE}"/>
    <cellStyle name="Comma 144 3" xfId="2450" xr:uid="{151A92FA-0C28-4F6B-BB63-42DA4D20D83D}"/>
    <cellStyle name="Comma 144 4" xfId="4576" xr:uid="{88CA484E-8E7B-4A1B-A02A-64D0F921BC10}"/>
    <cellStyle name="Comma 145" xfId="367" xr:uid="{9F29C4FF-7FE3-4242-82D9-9EB4E4423AF6}"/>
    <cellStyle name="Comma 145 2" xfId="1423" xr:uid="{C4B1096C-A5D5-4F07-9353-89593D5FC386}"/>
    <cellStyle name="Comma 145 2 2" xfId="3481" xr:uid="{27854284-9D82-4839-9793-997AA17685FC}"/>
    <cellStyle name="Comma 145 3" xfId="2451" xr:uid="{02E443B5-7554-4D3B-97DD-F0BDFF0C8829}"/>
    <cellStyle name="Comma 145 4" xfId="4577" xr:uid="{FC747917-8B8D-4D10-BC4C-BDBC3D59830F}"/>
    <cellStyle name="Comma 146" xfId="375" xr:uid="{C75F16B9-E2C8-40E8-B0F1-2793AC398CFD}"/>
    <cellStyle name="Comma 146 2" xfId="1424" xr:uid="{850B79B5-BCA9-4A4D-B4FA-41957E935FB2}"/>
    <cellStyle name="Comma 146 2 2" xfId="3482" xr:uid="{642F7D18-9D40-434E-9352-61F9D8A2EF99}"/>
    <cellStyle name="Comma 146 3" xfId="2452" xr:uid="{44796546-1C17-4BA1-AF21-A451098C0491}"/>
    <cellStyle name="Comma 146 4" xfId="4578" xr:uid="{20EDE181-DA8D-4C6E-AA7E-B84395903B6E}"/>
    <cellStyle name="Comma 147" xfId="382" xr:uid="{3A31B17D-0F61-47E2-894D-C860A9273577}"/>
    <cellStyle name="Comma 147 2" xfId="1425" xr:uid="{CB661903-1EBE-43CA-B6EE-D484F6DF5856}"/>
    <cellStyle name="Comma 147 2 2" xfId="3483" xr:uid="{98EF6845-9DF7-499B-A2FC-C0C73520F8F6}"/>
    <cellStyle name="Comma 147 3" xfId="2453" xr:uid="{0E1876A7-4658-4302-B8F0-D593CBCC72E5}"/>
    <cellStyle name="Comma 147 4" xfId="4579" xr:uid="{E553E86B-C1A1-46A9-8D52-62E4FB0C4159}"/>
    <cellStyle name="Comma 148" xfId="388" xr:uid="{8BCEEFCE-670E-43CD-821E-D79FCBE823E4}"/>
    <cellStyle name="Comma 148 2" xfId="1426" xr:uid="{F25EE4BC-86E2-43EC-98CF-0DB8BE898674}"/>
    <cellStyle name="Comma 148 2 2" xfId="3484" xr:uid="{4D0335C7-B2AB-4DA6-92CA-D4CB09423535}"/>
    <cellStyle name="Comma 148 3" xfId="2454" xr:uid="{5E8BCCDA-C9AD-4EB3-A50B-92C3FEE25D32}"/>
    <cellStyle name="Comma 148 4" xfId="4580" xr:uid="{A5AAA20F-DB43-4FFE-901B-B8212FEF7A3B}"/>
    <cellStyle name="Comma 149" xfId="389" xr:uid="{3EBABFD4-61A4-4DBC-A754-76FF4AAE10AF}"/>
    <cellStyle name="Comma 149 2" xfId="1427" xr:uid="{C88BC1E2-AD0B-49D4-A8FA-8E3F9C3DD547}"/>
    <cellStyle name="Comma 149 2 2" xfId="3485" xr:uid="{BF57DD7F-C2CA-4BF5-AF2B-9B295B23D29E}"/>
    <cellStyle name="Comma 149 3" xfId="2455" xr:uid="{F2685AB6-BF93-4011-AA0F-4120EF117CA9}"/>
    <cellStyle name="Comma 149 4" xfId="4581" xr:uid="{CA595001-F9E1-4875-890A-9D00CC7EED28}"/>
    <cellStyle name="Comma 15" xfId="207" xr:uid="{4F870AAC-98B4-4566-AFFB-6CC813DF8815}"/>
    <cellStyle name="Comma 15 2" xfId="1293" xr:uid="{1C809D68-5E3B-4ABA-AF02-42CC26D1E77C}"/>
    <cellStyle name="Comma 15 2 2" xfId="3351" xr:uid="{FFA6DDF9-C937-4696-ABCF-4B652D9F9315}"/>
    <cellStyle name="Comma 15 3" xfId="2321" xr:uid="{4414ED52-E4A3-4E93-AF41-3052D3375090}"/>
    <cellStyle name="Comma 15 4" xfId="4447" xr:uid="{4EF886F9-57B5-43FA-ABF2-38E9A339BC00}"/>
    <cellStyle name="Comma 150" xfId="390" xr:uid="{881FA580-FE97-4BBC-A548-D0DF44DBB7CA}"/>
    <cellStyle name="Comma 150 2" xfId="1428" xr:uid="{13653595-6266-4D7D-AAE6-23CE68F7BF59}"/>
    <cellStyle name="Comma 150 2 2" xfId="3486" xr:uid="{E862B1F0-92E0-48C9-AF8D-631C59400E19}"/>
    <cellStyle name="Comma 150 3" xfId="2456" xr:uid="{5173EF34-D9C2-40BE-BB29-57AF5E6EA48E}"/>
    <cellStyle name="Comma 150 4" xfId="4582" xr:uid="{800E47B3-3FEF-454D-AB65-24802B00B65A}"/>
    <cellStyle name="Comma 151" xfId="391" xr:uid="{932560C3-5D19-49BB-993A-5BFC9D896772}"/>
    <cellStyle name="Comma 151 2" xfId="1429" xr:uid="{B56E3721-1018-4C6A-81CE-EEBA535126A4}"/>
    <cellStyle name="Comma 151 2 2" xfId="3487" xr:uid="{F010AC74-3857-413C-8143-DA775A13D935}"/>
    <cellStyle name="Comma 151 3" xfId="2457" xr:uid="{8244DDE5-D617-4D02-9F33-C40782DFBD64}"/>
    <cellStyle name="Comma 151 4" xfId="4583" xr:uid="{F0013396-D3B9-4935-8C3F-7B17BF5DE82F}"/>
    <cellStyle name="Comma 152" xfId="392" xr:uid="{8F44820D-9D71-4D58-8571-A49112C6C60C}"/>
    <cellStyle name="Comma 152 2" xfId="1430" xr:uid="{B945653C-E624-498D-A6A1-CECE1256FFBF}"/>
    <cellStyle name="Comma 152 2 2" xfId="3488" xr:uid="{89E0871C-51ED-437C-A929-40656EA73DB3}"/>
    <cellStyle name="Comma 152 3" xfId="2458" xr:uid="{BDE7D182-4696-49E4-8B96-99F7F6F79C79}"/>
    <cellStyle name="Comma 152 4" xfId="4584" xr:uid="{881C96E3-DE3C-4F0A-8EB3-1AE1E04B9281}"/>
    <cellStyle name="Comma 153" xfId="393" xr:uid="{15C08763-ED53-4DBA-8CE3-E57746042029}"/>
    <cellStyle name="Comma 153 2" xfId="1431" xr:uid="{838D4855-E5AC-4F75-AEE0-E8E16DA83D06}"/>
    <cellStyle name="Comma 153 2 2" xfId="3489" xr:uid="{E446FFB7-226C-46B9-BD35-EDA26D638C4D}"/>
    <cellStyle name="Comma 153 3" xfId="2459" xr:uid="{34D69A30-C235-43DD-84AE-CB8E5F3677AE}"/>
    <cellStyle name="Comma 153 4" xfId="4585" xr:uid="{6DD4C1FB-E697-4737-A713-7264789D3DAB}"/>
    <cellStyle name="Comma 154" xfId="394" xr:uid="{C7C24095-286D-48C0-96D8-98BC7E527EBA}"/>
    <cellStyle name="Comma 154 2" xfId="1432" xr:uid="{4570560C-6601-4107-8237-4E3DCC81A2FE}"/>
    <cellStyle name="Comma 154 2 2" xfId="3490" xr:uid="{AEAC26ED-68A7-482A-A62E-97F6C909C8B1}"/>
    <cellStyle name="Comma 154 3" xfId="2460" xr:uid="{764A5A18-4AFD-4C1B-8444-E0082C82F9EA}"/>
    <cellStyle name="Comma 154 4" xfId="4586" xr:uid="{922FE9E8-A6CE-4A1C-B9C5-78149F25A236}"/>
    <cellStyle name="Comma 155" xfId="395" xr:uid="{B621A099-5A24-40AF-8A85-75183EE048ED}"/>
    <cellStyle name="Comma 155 2" xfId="1433" xr:uid="{96391B8E-6716-4874-9959-DB1806020F54}"/>
    <cellStyle name="Comma 155 2 2" xfId="3491" xr:uid="{E4CF8DB8-0496-42F8-8B6F-980CB5441D97}"/>
    <cellStyle name="Comma 155 3" xfId="2461" xr:uid="{41C68FD9-D484-4B0C-8373-F1EA312A1DFD}"/>
    <cellStyle name="Comma 155 4" xfId="4587" xr:uid="{530AC2F9-D267-4087-8A6F-C92D13928DFB}"/>
    <cellStyle name="Comma 156" xfId="396" xr:uid="{ECE4B61B-8182-407F-A0EA-AC33B480890E}"/>
    <cellStyle name="Comma 156 2" xfId="1434" xr:uid="{2F59E761-ED3C-4A5D-BCAF-A7AD7103937E}"/>
    <cellStyle name="Comma 156 2 2" xfId="3492" xr:uid="{AF4DA8F0-4F75-4486-AA9B-CA8BD6CF77A0}"/>
    <cellStyle name="Comma 156 3" xfId="2462" xr:uid="{7828DD7F-E0B7-45AF-938C-5343F5DEA4C0}"/>
    <cellStyle name="Comma 156 4" xfId="4588" xr:uid="{9C031A61-6016-4F7F-A6D3-A076DBAE1A60}"/>
    <cellStyle name="Comma 157" xfId="397" xr:uid="{6A451A36-6E3A-4076-9538-DA3831381D2D}"/>
    <cellStyle name="Comma 157 2" xfId="1435" xr:uid="{85F1F659-5A18-4915-9DC0-F8A86EFCA6A4}"/>
    <cellStyle name="Comma 157 2 2" xfId="3493" xr:uid="{12F494C4-C742-4F25-B121-779AC9D1FD85}"/>
    <cellStyle name="Comma 157 3" xfId="2463" xr:uid="{D0B6621C-8AFC-4EA5-AC9F-C55990B53791}"/>
    <cellStyle name="Comma 157 4" xfId="4589" xr:uid="{BDA7F7CE-BDD4-4D9C-ABAB-E7DB4201EC95}"/>
    <cellStyle name="Comma 158" xfId="398" xr:uid="{FEBB4B36-79AB-4CEA-B59B-8090DF77AFB4}"/>
    <cellStyle name="Comma 158 2" xfId="1436" xr:uid="{5D350438-45E4-40B3-91EA-2BF01772D4DC}"/>
    <cellStyle name="Comma 158 2 2" xfId="3494" xr:uid="{8D3BA3F2-E289-4F5E-89BD-0FAF17D91AC6}"/>
    <cellStyle name="Comma 158 3" xfId="2464" xr:uid="{CF8221AD-F420-42AB-B17E-B4B8F1B571FB}"/>
    <cellStyle name="Comma 158 4" xfId="4590" xr:uid="{499D2797-B6FB-4218-94B3-A5304D448D09}"/>
    <cellStyle name="Comma 159" xfId="399" xr:uid="{65C0B75F-279A-4494-A0D3-E37CB7451794}"/>
    <cellStyle name="Comma 159 2" xfId="1437" xr:uid="{B2C3ED91-5B31-47BC-B3F1-D5ADAB75A35C}"/>
    <cellStyle name="Comma 159 2 2" xfId="3495" xr:uid="{F3B353A6-7B5C-490A-86A8-0DF7B9F9371F}"/>
    <cellStyle name="Comma 159 3" xfId="2465" xr:uid="{5D14D5AF-B3E5-4B8C-9B16-D1B1BD34D96F}"/>
    <cellStyle name="Comma 159 4" xfId="4591" xr:uid="{23B36A4B-BF8A-4F8B-8C62-9F2B7F22417F}"/>
    <cellStyle name="Comma 16" xfId="208" xr:uid="{6A83BED1-742B-46CF-84B1-183905747827}"/>
    <cellStyle name="Comma 16 2" xfId="1294" xr:uid="{8A757DC5-DE94-4D16-8B94-A27B4443B880}"/>
    <cellStyle name="Comma 16 2 2" xfId="3352" xr:uid="{65B9D9EB-AD89-4EF8-A745-6E80DCB3A5F6}"/>
    <cellStyle name="Comma 16 3" xfId="2322" xr:uid="{45730948-83FC-4210-A965-B8A19DC3819B}"/>
    <cellStyle name="Comma 16 4" xfId="4448" xr:uid="{D6536ABC-EB64-43DB-BF0C-FDFCE6F9F3A5}"/>
    <cellStyle name="Comma 160" xfId="400" xr:uid="{4348C1A6-482B-46D7-B74B-D7DA0E1392DB}"/>
    <cellStyle name="Comma 160 2" xfId="1438" xr:uid="{A70F46CA-F9F6-4CFD-AA75-980F50D3B002}"/>
    <cellStyle name="Comma 160 2 2" xfId="3496" xr:uid="{5CC783EB-B447-4552-9687-3781E6F1320E}"/>
    <cellStyle name="Comma 160 3" xfId="2466" xr:uid="{FE48D40B-1180-44D1-B6AA-607457168EF9}"/>
    <cellStyle name="Comma 160 4" xfId="4592" xr:uid="{33D8436B-0F01-4CFB-ADAA-73500A2DC016}"/>
    <cellStyle name="Comma 161" xfId="401" xr:uid="{26D33544-0929-4842-9084-63422A32B954}"/>
    <cellStyle name="Comma 161 2" xfId="1439" xr:uid="{FDA8DA5B-E251-4D92-9B03-375BD1C01CC2}"/>
    <cellStyle name="Comma 161 2 2" xfId="3497" xr:uid="{9D43C710-3AD5-4D18-A1EC-06D84BB71C61}"/>
    <cellStyle name="Comma 161 3" xfId="2467" xr:uid="{7E2BBB61-6B60-42BB-B3D0-2213FFEAD307}"/>
    <cellStyle name="Comma 161 4" xfId="4593" xr:uid="{66DC479B-9618-496D-9CC5-A20D6EC7D38B}"/>
    <cellStyle name="Comma 162" xfId="402" xr:uid="{1F0EC4C3-45C1-438C-8804-29AAD5909475}"/>
    <cellStyle name="Comma 162 2" xfId="1440" xr:uid="{CA684694-D75D-401F-B5A0-003328142BA1}"/>
    <cellStyle name="Comma 162 2 2" xfId="3498" xr:uid="{EE06DFC1-077E-4B43-A235-D1E527C198F8}"/>
    <cellStyle name="Comma 162 3" xfId="2468" xr:uid="{C15F2511-1B79-4DA9-AF16-DEAA074B994F}"/>
    <cellStyle name="Comma 162 4" xfId="4594" xr:uid="{D4BC3E9A-CD50-4497-AFE5-EB5DFD0C814E}"/>
    <cellStyle name="Comma 163" xfId="403" xr:uid="{AD9464A1-7048-42F8-8145-1FF63EABD42B}"/>
    <cellStyle name="Comma 163 2" xfId="1441" xr:uid="{4A8D080A-A6CC-4512-9C4F-1741048375E7}"/>
    <cellStyle name="Comma 163 2 2" xfId="3499" xr:uid="{6CB77E34-C375-46AF-8A11-40F75AB6EA0D}"/>
    <cellStyle name="Comma 163 3" xfId="2469" xr:uid="{18D66DEC-3C1A-4B81-9879-61178EC3F8F2}"/>
    <cellStyle name="Comma 163 4" xfId="4595" xr:uid="{A85152FA-0ABC-4231-AAC0-5402CD0CD788}"/>
    <cellStyle name="Comma 164" xfId="404" xr:uid="{C57FCB3D-CF99-4DE6-8433-FC3618C08E24}"/>
    <cellStyle name="Comma 164 2" xfId="1442" xr:uid="{B3DB5B76-E467-4534-BBD8-736EEBF55E1E}"/>
    <cellStyle name="Comma 164 2 2" xfId="3500" xr:uid="{3FDAE604-03D4-4609-96DD-A797B7179561}"/>
    <cellStyle name="Comma 164 3" xfId="2470" xr:uid="{C364EA49-2509-4D06-BB57-CB2DC91FAA49}"/>
    <cellStyle name="Comma 164 4" xfId="4596" xr:uid="{50917517-1BB8-4B64-B443-A10D9A3922BF}"/>
    <cellStyle name="Comma 165" xfId="405" xr:uid="{A16DAEB1-B310-49C5-9004-93AEEAC16A76}"/>
    <cellStyle name="Comma 165 2" xfId="1443" xr:uid="{5F4C85F0-5DF2-4506-B9F7-CF7C05AA7D37}"/>
    <cellStyle name="Comma 165 2 2" xfId="3501" xr:uid="{A59B0625-9CA8-4716-ABF7-F613245845C5}"/>
    <cellStyle name="Comma 165 3" xfId="2471" xr:uid="{946161B6-7C00-4F8D-A28A-478AF56AECC6}"/>
    <cellStyle name="Comma 165 4" xfId="4597" xr:uid="{8C1F50BF-4365-441C-9F4C-A3C58383C10C}"/>
    <cellStyle name="Comma 166" xfId="406" xr:uid="{4A2326D8-0DC7-4A16-B1CC-6C40F3A3604F}"/>
    <cellStyle name="Comma 166 2" xfId="1444" xr:uid="{8C9B8D47-2AE0-4B25-B7E0-F587145E3AAE}"/>
    <cellStyle name="Comma 166 2 2" xfId="3502" xr:uid="{58DBABF7-85E8-4DF7-99F0-5709E3B0A204}"/>
    <cellStyle name="Comma 166 3" xfId="2472" xr:uid="{97FAE56E-498A-456E-B9D1-4A7D2E3A6A59}"/>
    <cellStyle name="Comma 166 4" xfId="4598" xr:uid="{BBDE5508-1659-49D6-BC63-660DEA939A33}"/>
    <cellStyle name="Comma 167" xfId="407" xr:uid="{B44C368E-B726-4C72-8F87-B40C59ABE9A5}"/>
    <cellStyle name="Comma 167 2" xfId="1445" xr:uid="{33BE6CC2-8659-4DA4-A45C-423876508D14}"/>
    <cellStyle name="Comma 167 2 2" xfId="3503" xr:uid="{D1D39503-17F6-4749-8C9F-0A10E6E40056}"/>
    <cellStyle name="Comma 167 3" xfId="2473" xr:uid="{72941A52-2961-407E-8621-89ED1AAC24E4}"/>
    <cellStyle name="Comma 167 4" xfId="4599" xr:uid="{C61C5E03-6C18-4D63-8AA4-3C2B95802A75}"/>
    <cellStyle name="Comma 168" xfId="408" xr:uid="{E87BE9B8-4666-4240-8259-279FB4350B7E}"/>
    <cellStyle name="Comma 168 2" xfId="1446" xr:uid="{6A56D49D-4F10-45E1-A33D-DA09690EE5AC}"/>
    <cellStyle name="Comma 168 2 2" xfId="3504" xr:uid="{B9CB493B-9B96-408F-8031-011448D02316}"/>
    <cellStyle name="Comma 168 3" xfId="2474" xr:uid="{A9307903-523B-4898-B4F8-FF9D8E02B2CA}"/>
    <cellStyle name="Comma 168 4" xfId="4600" xr:uid="{89304B31-6B1B-4CEE-9997-FFB0A8705183}"/>
    <cellStyle name="Comma 169" xfId="409" xr:uid="{41A77D2F-F94C-48D3-9F7B-5AE6F81C32D1}"/>
    <cellStyle name="Comma 169 2" xfId="1447" xr:uid="{2B1E4C23-D24E-4E7E-9821-B4602209413D}"/>
    <cellStyle name="Comma 169 2 2" xfId="3505" xr:uid="{5BA1DA55-C568-4EF1-B71E-46E2A34E3180}"/>
    <cellStyle name="Comma 169 3" xfId="2475" xr:uid="{ECE35866-FA57-4C30-B12A-9310B2D88C17}"/>
    <cellStyle name="Comma 169 4" xfId="4601" xr:uid="{1E21516F-57FD-42F8-82C9-BCC35EE674AB}"/>
    <cellStyle name="Comma 17" xfId="209" xr:uid="{E3FF7813-7003-4BE9-BD3E-5DE8CA1A5106}"/>
    <cellStyle name="Comma 17 2" xfId="1295" xr:uid="{66D7C4A4-325C-4CE4-8E1E-D69923E40675}"/>
    <cellStyle name="Comma 17 2 2" xfId="3353" xr:uid="{0A1834AF-0DDE-4EF7-BD22-AD444128F8DE}"/>
    <cellStyle name="Comma 17 3" xfId="2323" xr:uid="{B854EA55-BBF8-4E25-9005-52C935484784}"/>
    <cellStyle name="Comma 17 4" xfId="4449" xr:uid="{C55DDF09-8147-4925-B837-524BBB0BC4D3}"/>
    <cellStyle name="Comma 170" xfId="410" xr:uid="{F976BF4C-7598-4835-BE0C-8BF6FDB196FC}"/>
    <cellStyle name="Comma 170 2" xfId="1448" xr:uid="{BDB111FC-B6BB-462A-B607-52528B575BF7}"/>
    <cellStyle name="Comma 170 2 2" xfId="3506" xr:uid="{528CC52D-797C-4E57-87BC-3C24FB5637DC}"/>
    <cellStyle name="Comma 170 3" xfId="2476" xr:uid="{8A9150D6-97DA-46E6-B21D-BBFFB616F2EF}"/>
    <cellStyle name="Comma 170 4" xfId="4602" xr:uid="{B971D1B6-07F4-4862-B011-1A64B0E374A3}"/>
    <cellStyle name="Comma 171" xfId="411" xr:uid="{95951440-B75C-4077-A009-37ED552AC853}"/>
    <cellStyle name="Comma 171 2" xfId="1449" xr:uid="{5078F5C5-249E-41D3-A23F-1C72AAB8260E}"/>
    <cellStyle name="Comma 171 2 2" xfId="3507" xr:uid="{7CF15402-C8D4-4B25-9F28-67DBC4FB1A0C}"/>
    <cellStyle name="Comma 171 3" xfId="2477" xr:uid="{11C14C3B-F9CC-44D8-BFA1-E0B81FC81A9C}"/>
    <cellStyle name="Comma 171 4" xfId="4603" xr:uid="{BA5479FA-5FAA-4CBD-9365-2CA397BB33E9}"/>
    <cellStyle name="Comma 172" xfId="412" xr:uid="{0F038FFF-E45E-436B-9F93-AAA8304BA5C6}"/>
    <cellStyle name="Comma 172 2" xfId="1450" xr:uid="{2C10EADA-E6B7-4220-A477-94CC881E627B}"/>
    <cellStyle name="Comma 172 2 2" xfId="3508" xr:uid="{2940AD4B-1831-42D8-9614-9874E1F5BB30}"/>
    <cellStyle name="Comma 172 3" xfId="2478" xr:uid="{CB06391A-9B59-4070-93C8-A0BAB6BE60B3}"/>
    <cellStyle name="Comma 172 4" xfId="4604" xr:uid="{581E630E-59C1-4C1F-8B82-2B89B2AC4324}"/>
    <cellStyle name="Comma 173" xfId="413" xr:uid="{4B73108A-7699-4B09-9FB6-57EEF8097FFD}"/>
    <cellStyle name="Comma 173 2" xfId="1451" xr:uid="{A7E011C8-0A05-4066-B645-71A3366CCAD0}"/>
    <cellStyle name="Comma 173 2 2" xfId="3509" xr:uid="{34FDF874-CAA5-45D6-8DAD-B0616DE67D21}"/>
    <cellStyle name="Comma 173 3" xfId="2479" xr:uid="{9366028F-EEB6-4264-85DF-EFBC834CC3D3}"/>
    <cellStyle name="Comma 173 4" xfId="4605" xr:uid="{9E02DA1A-C81F-411B-AE5B-3F679077674E}"/>
    <cellStyle name="Comma 174" xfId="414" xr:uid="{9DEE1AE3-2B34-4A14-A60F-DC312AFA5907}"/>
    <cellStyle name="Comma 174 2" xfId="1452" xr:uid="{A9D481A6-CECB-4340-AE63-5AA67F180424}"/>
    <cellStyle name="Comma 174 2 2" xfId="3510" xr:uid="{D30DA948-D130-4344-B7A2-69A9BDC09D19}"/>
    <cellStyle name="Comma 174 3" xfId="2480" xr:uid="{BB69AA3E-7B11-45AE-90E3-4F0B4E90E612}"/>
    <cellStyle name="Comma 174 4" xfId="4606" xr:uid="{541E998C-C5EE-483B-A62D-BA517EBF7C5D}"/>
    <cellStyle name="Comma 175" xfId="415" xr:uid="{EB707AFF-C99A-4869-B056-FEF7AB7987F2}"/>
    <cellStyle name="Comma 175 2" xfId="1453" xr:uid="{222BF792-5EB3-48E7-AB08-3598256AF106}"/>
    <cellStyle name="Comma 175 2 2" xfId="3511" xr:uid="{C8A689D2-BC0A-4193-87A0-4CFF496DE34E}"/>
    <cellStyle name="Comma 175 3" xfId="2481" xr:uid="{8B40AC14-3B5A-4163-B5BC-B65C233E9042}"/>
    <cellStyle name="Comma 175 4" xfId="4607" xr:uid="{3BD4FFEF-EA33-40FB-B529-1E6313743DC5}"/>
    <cellStyle name="Comma 176" xfId="416" xr:uid="{A2A5FF94-62B1-4382-A4A8-8A1A9419B437}"/>
    <cellStyle name="Comma 176 2" xfId="1454" xr:uid="{5BE811E8-5549-4BF3-AC35-8C233C7E23E4}"/>
    <cellStyle name="Comma 176 2 2" xfId="3512" xr:uid="{FB5A55BE-4C73-4C61-83C6-F992C77B0F70}"/>
    <cellStyle name="Comma 176 3" xfId="2482" xr:uid="{D272BD9A-60C3-424C-B167-F57F27151B90}"/>
    <cellStyle name="Comma 176 4" xfId="4608" xr:uid="{9C5882EC-29F6-4405-9332-65E83D2EA0B7}"/>
    <cellStyle name="Comma 177" xfId="417" xr:uid="{EFA81E2D-5603-472A-8437-720FF4D7CEEA}"/>
    <cellStyle name="Comma 177 2" xfId="1455" xr:uid="{8266E65D-DADC-412A-8907-FFF7C83C8808}"/>
    <cellStyle name="Comma 177 2 2" xfId="3513" xr:uid="{1FE0CF9F-16B9-4C0D-8950-28A0DB46A62F}"/>
    <cellStyle name="Comma 177 3" xfId="2483" xr:uid="{89B117C5-4AF8-4C32-8CCD-3EBE846847D6}"/>
    <cellStyle name="Comma 177 4" xfId="4609" xr:uid="{C2066BA9-2C69-4CC7-BF65-04C696E41EA3}"/>
    <cellStyle name="Comma 178" xfId="418" xr:uid="{74B14D12-3560-402F-BF58-AD5EB98CAB93}"/>
    <cellStyle name="Comma 178 2" xfId="1456" xr:uid="{AE837ABD-E0BC-4E30-AEE2-10D65A7B4FED}"/>
    <cellStyle name="Comma 178 2 2" xfId="3514" xr:uid="{3C1B4284-7841-42EC-9B4B-2F77FC1B4F68}"/>
    <cellStyle name="Comma 178 3" xfId="2484" xr:uid="{E2BA9FFB-550D-4D7A-B501-97AC1DB8DD23}"/>
    <cellStyle name="Comma 178 4" xfId="4610" xr:uid="{FC208EF0-6397-4F11-B5D8-71D016307A5A}"/>
    <cellStyle name="Comma 179" xfId="419" xr:uid="{8385A881-5469-4914-9A87-4F928406DB8E}"/>
    <cellStyle name="Comma 179 2" xfId="1457" xr:uid="{DE3650B4-DF14-4AA1-9E1E-5BDEF3E933E8}"/>
    <cellStyle name="Comma 179 2 2" xfId="3515" xr:uid="{290490AC-9C5D-4119-8D21-B973FF69CE4B}"/>
    <cellStyle name="Comma 179 3" xfId="2485" xr:uid="{D5B04826-7970-415F-B32E-1B4102EC9CB0}"/>
    <cellStyle name="Comma 179 4" xfId="4611" xr:uid="{FFB45626-8196-4D5B-AFD4-EDB0734AFCDD}"/>
    <cellStyle name="Comma 18" xfId="210" xr:uid="{81EDDB98-3374-450B-8D76-434C4FC5CF70}"/>
    <cellStyle name="Comma 18 2" xfId="1296" xr:uid="{1E6A4308-B0BD-46E5-AFB5-5233466BD99E}"/>
    <cellStyle name="Comma 18 2 2" xfId="3354" xr:uid="{66632A5F-BA96-4FB8-9252-C729926AD292}"/>
    <cellStyle name="Comma 18 3" xfId="2324" xr:uid="{6A9933D7-56E6-4290-9D35-63DFAF2773B3}"/>
    <cellStyle name="Comma 18 4" xfId="4450" xr:uid="{579BB79F-DAEA-4795-8245-02D1F4CBD044}"/>
    <cellStyle name="Comma 180" xfId="420" xr:uid="{11724BD0-49B2-492A-A364-41B66D2E7A8D}"/>
    <cellStyle name="Comma 180 2" xfId="1458" xr:uid="{57D8DC4A-2672-4286-A1CF-537B069EA596}"/>
    <cellStyle name="Comma 180 2 2" xfId="3516" xr:uid="{16B82EEF-7B99-4CA4-9B31-DA659D036286}"/>
    <cellStyle name="Comma 180 3" xfId="2486" xr:uid="{A35F250B-FE74-4A69-9C0B-338BEDAEE099}"/>
    <cellStyle name="Comma 180 4" xfId="4612" xr:uid="{8B2AA3AC-1EF0-438E-AB00-7FC80A0B023C}"/>
    <cellStyle name="Comma 181" xfId="421" xr:uid="{B56D70AE-4415-45CC-A873-56922C09A5A7}"/>
    <cellStyle name="Comma 181 2" xfId="1459" xr:uid="{E2783EA3-26C3-4BD9-9802-19B1E0FF6239}"/>
    <cellStyle name="Comma 181 2 2" xfId="3517" xr:uid="{6F671F5C-4415-42EF-B87C-2FC8D5847880}"/>
    <cellStyle name="Comma 181 3" xfId="2487" xr:uid="{336E4A7B-A061-4DBB-9989-44EF38EBC9F8}"/>
    <cellStyle name="Comma 181 4" xfId="4613" xr:uid="{F9455903-D626-4656-A116-B75289091E75}"/>
    <cellStyle name="Comma 182" xfId="422" xr:uid="{371248B9-E3D5-4A4D-9550-9C8B22FCB5BD}"/>
    <cellStyle name="Comma 182 2" xfId="1460" xr:uid="{0CF4036B-EAEB-4532-B7DD-6FBC0E9184C4}"/>
    <cellStyle name="Comma 182 2 2" xfId="3518" xr:uid="{47B5D031-5CF1-4F0A-99E8-5CD8F45F112A}"/>
    <cellStyle name="Comma 182 3" xfId="2488" xr:uid="{B4EF5407-B2E1-4151-BC5A-A271BBDB6C0B}"/>
    <cellStyle name="Comma 182 4" xfId="4614" xr:uid="{FB9AA4E8-DE34-46BE-AB45-C9C9ADF01F89}"/>
    <cellStyle name="Comma 183" xfId="423" xr:uid="{EEC33546-F4D4-47FF-896F-78127DC54C4F}"/>
    <cellStyle name="Comma 183 2" xfId="1461" xr:uid="{EC33FC84-FCD5-4E6A-83AF-9540EA10B81E}"/>
    <cellStyle name="Comma 183 2 2" xfId="3519" xr:uid="{557BE5D5-B13E-441A-84D2-1B1C13065EC0}"/>
    <cellStyle name="Comma 183 3" xfId="2489" xr:uid="{AD374C99-CBA0-4C3F-A918-92356387153E}"/>
    <cellStyle name="Comma 183 4" xfId="4615" xr:uid="{97029EA2-9829-4CA5-AF9F-49994E835FFA}"/>
    <cellStyle name="Comma 184" xfId="424" xr:uid="{D051CD07-92CE-47B2-B6D9-98F68062D7B6}"/>
    <cellStyle name="Comma 184 2" xfId="1462" xr:uid="{56E009D9-2F7E-4588-9B9E-393C3A533D25}"/>
    <cellStyle name="Comma 184 2 2" xfId="3520" xr:uid="{A0F309EE-26FB-42FA-8002-B20C32AF9E82}"/>
    <cellStyle name="Comma 184 3" xfId="2490" xr:uid="{4177D4F4-2A01-40A0-9956-0EE65A06837F}"/>
    <cellStyle name="Comma 184 4" xfId="4616" xr:uid="{895AAF70-AF1D-4035-B32B-B11E66265C82}"/>
    <cellStyle name="Comma 185" xfId="425" xr:uid="{40753A40-6C57-4AD4-A5E9-607D28466F79}"/>
    <cellStyle name="Comma 185 2" xfId="1463" xr:uid="{0306FCF1-CDBD-4AD9-AC78-29634C8C7C7A}"/>
    <cellStyle name="Comma 185 2 2" xfId="3521" xr:uid="{E366778C-310C-4502-8D14-3CAD398E3F86}"/>
    <cellStyle name="Comma 185 3" xfId="2491" xr:uid="{AA0DD689-75AA-4E5B-8613-D98A3CD1CCC7}"/>
    <cellStyle name="Comma 185 4" xfId="4617" xr:uid="{EC009C31-40A6-4776-BAD6-693ACC9F6B18}"/>
    <cellStyle name="Comma 186" xfId="426" xr:uid="{C7BCD7AD-CDD2-43C5-BB2D-3F356E57DA85}"/>
    <cellStyle name="Comma 186 2" xfId="1464" xr:uid="{1CE2D1BE-3791-4E2C-B8B7-EDA2B9BC9E13}"/>
    <cellStyle name="Comma 186 2 2" xfId="3522" xr:uid="{8D4B6745-B32C-4917-8974-75C728B0ED42}"/>
    <cellStyle name="Comma 186 3" xfId="2492" xr:uid="{DBB74DF8-D762-4468-A6E2-C8D205549629}"/>
    <cellStyle name="Comma 186 4" xfId="4618" xr:uid="{8D87266A-2304-42F5-A3D5-BC73A440E3DC}"/>
    <cellStyle name="Comma 187" xfId="427" xr:uid="{0798A3BD-E58C-42C8-BC46-F0D57369D0C5}"/>
    <cellStyle name="Comma 187 2" xfId="1465" xr:uid="{730A79CB-DDDF-4D3F-9F10-8C7ACDEA7A56}"/>
    <cellStyle name="Comma 187 2 2" xfId="3523" xr:uid="{435A154D-32A5-4644-A139-AB6A0FF1F6AB}"/>
    <cellStyle name="Comma 187 3" xfId="2493" xr:uid="{3218E3AE-EAED-4357-9094-50D0F881F38C}"/>
    <cellStyle name="Comma 187 4" xfId="4619" xr:uid="{96416DC3-5491-4F4D-9686-2D471600C826}"/>
    <cellStyle name="Comma 188" xfId="428" xr:uid="{E706EA9B-FF0B-4900-B823-959F2BA35BA1}"/>
    <cellStyle name="Comma 188 2" xfId="1466" xr:uid="{A5E3D42C-D780-44CC-B647-232A0A5297EF}"/>
    <cellStyle name="Comma 188 2 2" xfId="3524" xr:uid="{B3128F83-D6D0-489F-AA53-17A5FADA4D60}"/>
    <cellStyle name="Comma 188 3" xfId="2494" xr:uid="{9C47B1D1-7B77-4934-98B4-C1575FF5479C}"/>
    <cellStyle name="Comma 188 4" xfId="4620" xr:uid="{FBF2DF9B-E229-437C-AB9E-1FF3FECB7D6F}"/>
    <cellStyle name="Comma 189" xfId="429" xr:uid="{D268E2F0-3025-403D-93A6-D205026292AA}"/>
    <cellStyle name="Comma 189 2" xfId="1467" xr:uid="{2E526209-8E81-4858-9A07-7156FEE8A34E}"/>
    <cellStyle name="Comma 189 2 2" xfId="3525" xr:uid="{1295D6D1-E556-4184-AA31-2A07C8B82451}"/>
    <cellStyle name="Comma 189 3" xfId="2495" xr:uid="{42C8DD62-3A26-4767-A3A9-2FDEE2B5FFC8}"/>
    <cellStyle name="Comma 189 4" xfId="4621" xr:uid="{9B0507EC-FBBA-43B7-8D7D-B2C6C922850B}"/>
    <cellStyle name="Comma 19" xfId="195" xr:uid="{DA3A5941-C1ED-4026-A380-AC9BCEDEBFCB}"/>
    <cellStyle name="Comma 19 2" xfId="1283" xr:uid="{231B11CA-DA39-4FD2-9D00-2987BF1706B8}"/>
    <cellStyle name="Comma 19 2 2" xfId="3341" xr:uid="{6589568B-2B3E-44B7-8CBB-FF32499A821B}"/>
    <cellStyle name="Comma 19 3" xfId="2311" xr:uid="{040405BE-5084-4DA6-BD7D-B755CA895155}"/>
    <cellStyle name="Comma 19 4" xfId="4437" xr:uid="{3A2A4807-2569-43DE-BC68-DD26B82C2CA9}"/>
    <cellStyle name="Comma 190" xfId="430" xr:uid="{D58FA00C-299C-448B-9C21-AB00018D5A53}"/>
    <cellStyle name="Comma 190 2" xfId="1468" xr:uid="{22E7ED27-A985-47F8-9774-B1C85258EF99}"/>
    <cellStyle name="Comma 190 2 2" xfId="3526" xr:uid="{59A5F5B2-36D2-4CCF-90B3-A4F9CAB93DC3}"/>
    <cellStyle name="Comma 190 3" xfId="2496" xr:uid="{091EDC3E-636A-47D2-9C8B-7A20D5FA6E0D}"/>
    <cellStyle name="Comma 190 4" xfId="4622" xr:uid="{979F0257-402D-4419-8FB2-072235BAC9DD}"/>
    <cellStyle name="Comma 191" xfId="431" xr:uid="{239B4E08-ECEF-43F1-B107-E2CD55D897BC}"/>
    <cellStyle name="Comma 191 2" xfId="1469" xr:uid="{D3FC6FD1-5249-49D1-B35E-22C95DFA900D}"/>
    <cellStyle name="Comma 191 2 2" xfId="3527" xr:uid="{A0E4E52C-7FA2-45A4-BCC5-815936C3651C}"/>
    <cellStyle name="Comma 191 3" xfId="2497" xr:uid="{BF00ED4C-8589-46C9-A172-A487FB9C15A7}"/>
    <cellStyle name="Comma 191 4" xfId="4623" xr:uid="{0F455D8A-46B5-461A-B9DE-CA89FD2CD36B}"/>
    <cellStyle name="Comma 192" xfId="432" xr:uid="{5E1EEC11-B172-4C31-AE15-F1BF7B20D772}"/>
    <cellStyle name="Comma 192 2" xfId="1470" xr:uid="{93DCE233-1E74-4326-90CD-56747B29EA58}"/>
    <cellStyle name="Comma 192 2 2" xfId="3528" xr:uid="{351748F5-2FD7-4364-8228-DA106F582BFE}"/>
    <cellStyle name="Comma 192 3" xfId="2498" xr:uid="{F6BEC317-96AE-47D2-9067-09D0F0830E98}"/>
    <cellStyle name="Comma 192 4" xfId="4624" xr:uid="{F4D11563-A43E-4E88-BFD7-C6CE5A09E484}"/>
    <cellStyle name="Comma 193" xfId="433" xr:uid="{4507FB94-1179-434E-893E-F624EC25CD6F}"/>
    <cellStyle name="Comma 193 2" xfId="1471" xr:uid="{3A2E7900-6002-4C16-958B-D1A7A65E3609}"/>
    <cellStyle name="Comma 193 2 2" xfId="3529" xr:uid="{0AE3FC32-7FCA-4454-9193-927D595B8580}"/>
    <cellStyle name="Comma 193 3" xfId="2499" xr:uid="{B821F9C4-C4F0-4BF8-9D69-F7B0AECFCB35}"/>
    <cellStyle name="Comma 193 4" xfId="4625" xr:uid="{722CB254-FA30-4506-BD91-020501DE5094}"/>
    <cellStyle name="Comma 194" xfId="434" xr:uid="{BB8085E7-E2C9-4E77-A064-C0C498840E7F}"/>
    <cellStyle name="Comma 194 2" xfId="1472" xr:uid="{725A0AAD-38A0-4209-88CF-275101F60ACD}"/>
    <cellStyle name="Comma 194 2 2" xfId="3530" xr:uid="{7B1ABDDB-FB28-4033-85FC-FA3F539AC144}"/>
    <cellStyle name="Comma 194 3" xfId="2500" xr:uid="{9BB210BB-F252-4998-95B9-855CAB415A96}"/>
    <cellStyle name="Comma 194 4" xfId="4626" xr:uid="{8F702A3A-B6F9-423E-BBBF-704D6D8F17CE}"/>
    <cellStyle name="Comma 195" xfId="435" xr:uid="{83F6A0FF-39CB-40D2-923C-63FB58324AFA}"/>
    <cellStyle name="Comma 195 2" xfId="1473" xr:uid="{D6F83574-8C82-40B8-AA73-C03EE590AE96}"/>
    <cellStyle name="Comma 195 2 2" xfId="3531" xr:uid="{1290BD57-4FC3-4F63-8691-62265EE19A2D}"/>
    <cellStyle name="Comma 195 3" xfId="2501" xr:uid="{133A2D5E-F0D4-416D-BAE0-46E07D16A478}"/>
    <cellStyle name="Comma 195 4" xfId="4627" xr:uid="{BEC4865F-7469-4AE0-9F28-3D8ECD108ACD}"/>
    <cellStyle name="Comma 196" xfId="436" xr:uid="{40F0ACB6-13D2-4DC7-B69D-BD5E8FFFF6DA}"/>
    <cellStyle name="Comma 196 2" xfId="1474" xr:uid="{E59BBD0B-8242-4F91-AA45-DE45DD1E83A3}"/>
    <cellStyle name="Comma 196 2 2" xfId="3532" xr:uid="{3798935D-EAE2-4946-801A-89E911CE7E3F}"/>
    <cellStyle name="Comma 196 3" xfId="2502" xr:uid="{41EDAD26-0627-438C-80B8-518886DF108A}"/>
    <cellStyle name="Comma 196 4" xfId="4628" xr:uid="{1993FC3E-FB65-4983-A948-4D233DD06C23}"/>
    <cellStyle name="Comma 197" xfId="437" xr:uid="{0FA028ED-518C-4878-8B3C-AD74FCBBF157}"/>
    <cellStyle name="Comma 197 2" xfId="1475" xr:uid="{30A3B41E-2811-4907-AA20-F43ED5763C4B}"/>
    <cellStyle name="Comma 197 2 2" xfId="3533" xr:uid="{AE0E4F4C-A1C8-4EF8-AC30-3473311C884E}"/>
    <cellStyle name="Comma 197 3" xfId="2503" xr:uid="{AF2AFF93-6A69-437A-B9DF-61E72CBFE9FB}"/>
    <cellStyle name="Comma 197 4" xfId="4629" xr:uid="{B1FEDCDC-A479-4DEA-8475-2351A96CF4D2}"/>
    <cellStyle name="Comma 198" xfId="438" xr:uid="{218AA4D9-0F36-4FC0-B437-8F4311594B66}"/>
    <cellStyle name="Comma 198 2" xfId="1476" xr:uid="{2748DBD1-4920-4EB6-BC11-D428AD8E0A0D}"/>
    <cellStyle name="Comma 198 2 2" xfId="3534" xr:uid="{1748EE6D-326A-4ABD-BADE-B56D607A4F3D}"/>
    <cellStyle name="Comma 198 3" xfId="2504" xr:uid="{895F5124-044C-40C1-87CD-BE39AAAAB6AD}"/>
    <cellStyle name="Comma 198 4" xfId="4630" xr:uid="{3790E9E0-1962-4A33-B08B-BD25EE55E35E}"/>
    <cellStyle name="Comma 199" xfId="439" xr:uid="{618F26B1-EDEF-45C8-8CAD-AFEF2601AF37}"/>
    <cellStyle name="Comma 199 2" xfId="1477" xr:uid="{6AEC8C06-9531-4E21-A164-D16712A73824}"/>
    <cellStyle name="Comma 199 2 2" xfId="3535" xr:uid="{D929AF8B-1E44-4FCC-8EB9-72C5DBE0FCC3}"/>
    <cellStyle name="Comma 199 3" xfId="2505" xr:uid="{FD395FD6-25C0-4247-AEDB-799E40043443}"/>
    <cellStyle name="Comma 199 4" xfId="4631" xr:uid="{0684BFCC-775C-4B5A-A8F9-B5C3D944B4D0}"/>
    <cellStyle name="Comma 2" xfId="2" xr:uid="{510FB9FF-FC62-4AA0-B878-3ECF24345BDA}"/>
    <cellStyle name="Comma 2 2" xfId="3" xr:uid="{AE4D5939-DEA3-4D1D-8C16-39A3B9C0075A}"/>
    <cellStyle name="Comma 2 2 2" xfId="68" xr:uid="{60325F37-C8BA-4FB7-8AEA-C3AC9787B8AB}"/>
    <cellStyle name="Comma 2 2 2 2" xfId="1274" xr:uid="{B3085304-7EB5-4322-8E26-BDAE85CB0975}"/>
    <cellStyle name="Comma 2 2 2 2 2" xfId="3332" xr:uid="{0D66AA1B-596C-4A3D-ADCB-59ACEAE4766E}"/>
    <cellStyle name="Comma 2 2 2 3" xfId="2302" xr:uid="{62CB2D3C-7452-4440-B3EB-988E7CA5449B}"/>
    <cellStyle name="Comma 2 2 3" xfId="1272" xr:uid="{EBF0FBDB-96C1-4551-8A18-0A3B69F9076A}"/>
    <cellStyle name="Comma 2 2 3 2" xfId="3330" xr:uid="{6819694F-C917-45FA-ADEE-D79A34B7417C}"/>
    <cellStyle name="Comma 2 2 4" xfId="4428" xr:uid="{FC58734D-9DFF-4F25-BED8-C87BAB02817A}"/>
    <cellStyle name="Comma 2 3" xfId="69" xr:uid="{76BF0A9C-6723-4505-B165-93EEC94D6FFE}"/>
    <cellStyle name="Comma 2 3 2" xfId="1275" xr:uid="{53ABD945-B884-46AC-ABFE-7B2813FBA38E}"/>
    <cellStyle name="Comma 2 3 2 2" xfId="3333" xr:uid="{BCCA0CAC-5F2C-4ED6-AE96-212CC8C73CAF}"/>
    <cellStyle name="Comma 2 3 3" xfId="2303" xr:uid="{49120134-9BF1-418D-8F96-3DF05EE86A7F}"/>
    <cellStyle name="Comma 2 3 4" xfId="4429" xr:uid="{EF995341-F963-4597-A2BD-2B3DAA809E32}"/>
    <cellStyle name="Comma 2 4" xfId="1271" xr:uid="{E8663470-9EB7-4970-8629-FA68DA739EB6}"/>
    <cellStyle name="Comma 2 4 2" xfId="3329" xr:uid="{59DD76C9-B54C-4F72-8948-FA75965F2908}"/>
    <cellStyle name="Comma 2 5" xfId="2300" xr:uid="{FCA36F7F-441F-4210-AB24-FAAEEB9373D7}"/>
    <cellStyle name="Comma 2 6" xfId="4427" xr:uid="{AB2A339E-E2CB-4948-992D-392FCA696AFE}"/>
    <cellStyle name="Comma 20" xfId="211" xr:uid="{42A48B3B-093F-4629-9EB0-1BDCFF0CAD4B}"/>
    <cellStyle name="Comma 20 2" xfId="1297" xr:uid="{A65D0E3B-BDB8-41E3-97B9-AF62CADF3275}"/>
    <cellStyle name="Comma 20 2 2" xfId="3355" xr:uid="{8A40789D-7B49-442B-A8E4-671A9AF7EB13}"/>
    <cellStyle name="Comma 20 3" xfId="2325" xr:uid="{135F72FA-2760-4506-8190-6B49F0C35624}"/>
    <cellStyle name="Comma 20 4" xfId="4451" xr:uid="{02553C98-189E-40A5-8B2E-9A5AC3688401}"/>
    <cellStyle name="Comma 200" xfId="440" xr:uid="{372821C1-E972-4198-8E81-7954C6C89682}"/>
    <cellStyle name="Comma 200 2" xfId="1478" xr:uid="{9202F4D9-E525-429C-A5BE-412B50C16959}"/>
    <cellStyle name="Comma 200 2 2" xfId="3536" xr:uid="{981CAD13-0128-4D6B-89E7-7AC8287A557F}"/>
    <cellStyle name="Comma 200 3" xfId="2506" xr:uid="{CA7B40EB-9882-48E4-B76F-A386AC41DE9E}"/>
    <cellStyle name="Comma 200 4" xfId="4632" xr:uid="{C5A7A69D-2829-43FF-BAB8-0DC91BE4D79E}"/>
    <cellStyle name="Comma 201" xfId="441" xr:uid="{4E2FA905-933D-4B1C-9445-147C7ADA23D5}"/>
    <cellStyle name="Comma 201 2" xfId="1479" xr:uid="{B68309AB-AAB5-4F22-BE49-B03FC4249E86}"/>
    <cellStyle name="Comma 201 2 2" xfId="3537" xr:uid="{8AF35B09-1238-4919-9C22-887300A79E39}"/>
    <cellStyle name="Comma 201 3" xfId="2507" xr:uid="{DB0B5905-835A-4C9D-B1BB-384FE168820D}"/>
    <cellStyle name="Comma 201 4" xfId="4633" xr:uid="{D8323C13-2F07-46B7-B03A-E47CC744D5FD}"/>
    <cellStyle name="Comma 202" xfId="442" xr:uid="{FFCA9E9C-0DF9-4DBA-A9C0-24B2F0BC7900}"/>
    <cellStyle name="Comma 202 2" xfId="1480" xr:uid="{DD11F76D-B5E1-414E-9BD3-3DC482ADB1D1}"/>
    <cellStyle name="Comma 202 2 2" xfId="3538" xr:uid="{D6EF54FB-9F87-4953-8391-2BB05AA6680C}"/>
    <cellStyle name="Comma 202 3" xfId="2508" xr:uid="{EFE76EBB-31FA-42ED-B9A4-097A1989AE32}"/>
    <cellStyle name="Comma 202 4" xfId="4634" xr:uid="{7E0B16A3-BE45-40DF-AE24-501193847D01}"/>
    <cellStyle name="Comma 203" xfId="443" xr:uid="{64B283ED-9F77-4115-A26D-C0F9CA4B11BC}"/>
    <cellStyle name="Comma 203 2" xfId="1481" xr:uid="{04426601-2535-45A1-9285-D6AB45942476}"/>
    <cellStyle name="Comma 203 2 2" xfId="3539" xr:uid="{ADD634DE-F8F2-4648-8893-7A0BEC4F83A7}"/>
    <cellStyle name="Comma 203 3" xfId="2509" xr:uid="{EAE28C1D-F5CE-4B64-B3A9-B356933C304D}"/>
    <cellStyle name="Comma 203 4" xfId="4635" xr:uid="{06CD425E-05EB-4B75-A57D-FE47F0BBFC12}"/>
    <cellStyle name="Comma 204" xfId="444" xr:uid="{7C86A98C-3C36-41AB-994F-9A1AF6F12B63}"/>
    <cellStyle name="Comma 204 2" xfId="1482" xr:uid="{A2450FC2-87F8-48A3-8610-A3C967714F81}"/>
    <cellStyle name="Comma 204 2 2" xfId="3540" xr:uid="{7C2BF7DD-A5E1-4991-904F-C2AF6EF3744E}"/>
    <cellStyle name="Comma 204 3" xfId="2510" xr:uid="{8EB58067-8F9A-494E-9134-DF15C2BFBAAC}"/>
    <cellStyle name="Comma 204 4" xfId="4636" xr:uid="{418392C5-F500-41D0-A85C-9D3065253A61}"/>
    <cellStyle name="Comma 205" xfId="445" xr:uid="{351C1800-97F6-4115-A561-CE1E5A7C9059}"/>
    <cellStyle name="Comma 205 2" xfId="1483" xr:uid="{65BDAAB6-5BC3-4394-A2D7-80182ACB9911}"/>
    <cellStyle name="Comma 205 2 2" xfId="3541" xr:uid="{F4D0DD53-F740-44A4-904E-3F62376B7989}"/>
    <cellStyle name="Comma 205 3" xfId="2511" xr:uid="{BCBD7B0D-9CE1-45A4-B662-49189D96A3DE}"/>
    <cellStyle name="Comma 205 4" xfId="4637" xr:uid="{EEFF1E8A-A8BF-4209-AE93-500D01655BEE}"/>
    <cellStyle name="Comma 206" xfId="446" xr:uid="{58AAB610-0FEF-48FA-8255-C863B5B3B3F2}"/>
    <cellStyle name="Comma 206 2" xfId="1484" xr:uid="{3E14D4D2-92A0-4355-A59C-F16B41F13D97}"/>
    <cellStyle name="Comma 206 2 2" xfId="3542" xr:uid="{BBA9C8D4-82FF-43B1-AD06-A5FBD7496DC1}"/>
    <cellStyle name="Comma 206 3" xfId="2512" xr:uid="{7E007672-B15C-416C-9F6B-60B85B4CE77B}"/>
    <cellStyle name="Comma 206 4" xfId="4638" xr:uid="{06497A72-28F3-4A94-978F-D26CEF50B285}"/>
    <cellStyle name="Comma 207" xfId="447" xr:uid="{8152E7BE-C2AA-4C0A-BCFB-6D2D17E9870C}"/>
    <cellStyle name="Comma 207 2" xfId="1485" xr:uid="{45CB8AD4-CBFF-4C15-B8EA-AB36C0150E50}"/>
    <cellStyle name="Comma 207 2 2" xfId="3543" xr:uid="{6D740899-C14D-4DF6-AB5C-CE8BB4F2F1ED}"/>
    <cellStyle name="Comma 207 3" xfId="2513" xr:uid="{2F28D594-B369-41AB-AAB8-4556EEF76333}"/>
    <cellStyle name="Comma 207 4" xfId="4639" xr:uid="{79CD46F6-0C55-40F9-8079-BB88C6604446}"/>
    <cellStyle name="Comma 208" xfId="448" xr:uid="{CADA4AEB-1BB9-4701-90C9-8CBC2FBB7C2A}"/>
    <cellStyle name="Comma 208 2" xfId="1486" xr:uid="{CC19BC76-03D5-4EB5-B4ED-66060687C0DC}"/>
    <cellStyle name="Comma 208 2 2" xfId="3544" xr:uid="{BB387409-75FE-4F15-B2AD-4213743B4577}"/>
    <cellStyle name="Comma 208 3" xfId="2514" xr:uid="{1ADF4A4C-AAFD-483B-B560-D367893DE041}"/>
    <cellStyle name="Comma 208 4" xfId="4640" xr:uid="{BAF3DB82-3489-4832-B502-499F23EB43BE}"/>
    <cellStyle name="Comma 209" xfId="449" xr:uid="{FB7A9C63-A594-4A71-9319-F3B55AA622C2}"/>
    <cellStyle name="Comma 209 2" xfId="1487" xr:uid="{41702335-5160-4CBF-9161-8785E3E0EB95}"/>
    <cellStyle name="Comma 209 2 2" xfId="3545" xr:uid="{D5C0E60C-2553-4A35-BD02-E49F1DF4CE5D}"/>
    <cellStyle name="Comma 209 3" xfId="2515" xr:uid="{6DFD1E01-453E-4DD8-B7B0-1BD713481741}"/>
    <cellStyle name="Comma 209 4" xfId="4641" xr:uid="{68363258-3325-4435-9B18-C83D5CAE3D0A}"/>
    <cellStyle name="Comma 21" xfId="212" xr:uid="{B7B36C07-1D1D-4BDA-9E93-24A11D5AA60E}"/>
    <cellStyle name="Comma 21 2" xfId="1298" xr:uid="{0442622E-1835-4C17-A011-4D6E564C2522}"/>
    <cellStyle name="Comma 21 2 2" xfId="3356" xr:uid="{EF26215A-4251-4727-858B-7BA79EFC2A11}"/>
    <cellStyle name="Comma 21 3" xfId="2326" xr:uid="{8B33290F-E6A5-4353-9843-46757E7DACD7}"/>
    <cellStyle name="Comma 21 4" xfId="4452" xr:uid="{564E3CE6-0025-466C-946C-75B8042D6572}"/>
    <cellStyle name="Comma 210" xfId="450" xr:uid="{91EAFCCB-DADF-4967-9030-019A0BDE51A4}"/>
    <cellStyle name="Comma 210 2" xfId="1488" xr:uid="{3C84E5EA-2312-46D0-B8FF-8653D0A4F54E}"/>
    <cellStyle name="Comma 210 2 2" xfId="3546" xr:uid="{102BB6F7-C8FF-4EC3-A944-39161D4E5994}"/>
    <cellStyle name="Comma 210 3" xfId="2516" xr:uid="{30CC6DD1-C46E-4C75-8194-0303FA21A53E}"/>
    <cellStyle name="Comma 210 4" xfId="4642" xr:uid="{1C854060-DE00-4B7A-BE3A-D32380E44DD3}"/>
    <cellStyle name="Comma 211" xfId="451" xr:uid="{617F85D2-E7C9-4CFB-8A97-C9AF47E491A4}"/>
    <cellStyle name="Comma 211 2" xfId="1489" xr:uid="{2C7825B8-B081-4D35-B4F4-6CA129C97387}"/>
    <cellStyle name="Comma 211 2 2" xfId="3547" xr:uid="{B2B913C5-85B3-4139-AF93-11389298EBBC}"/>
    <cellStyle name="Comma 211 3" xfId="2517" xr:uid="{7BA4A36B-E07C-4751-9B70-4B6E8117DEB3}"/>
    <cellStyle name="Comma 211 4" xfId="4643" xr:uid="{5B9FDA48-320E-49AA-9B7A-B3F43440BB02}"/>
    <cellStyle name="Comma 212" xfId="452" xr:uid="{1EB8ADE0-E779-4DB5-B3CA-77AD7618235A}"/>
    <cellStyle name="Comma 212 2" xfId="1490" xr:uid="{00066190-475F-4440-9EF6-AF4843AACCAD}"/>
    <cellStyle name="Comma 212 2 2" xfId="3548" xr:uid="{7D35B0D2-5909-4474-91FA-DA8038EC2794}"/>
    <cellStyle name="Comma 212 3" xfId="2518" xr:uid="{764CB76C-8B7F-4B4E-99B0-7C61D04E0B64}"/>
    <cellStyle name="Comma 212 4" xfId="4644" xr:uid="{F0E6F105-4A2E-41AF-AF66-ED27885791A6}"/>
    <cellStyle name="Comma 213" xfId="453" xr:uid="{B7435BA3-7CA4-4E46-B0CF-7D3D2BF10A4F}"/>
    <cellStyle name="Comma 213 2" xfId="1491" xr:uid="{00771070-4689-4C39-8070-6EF007B764C4}"/>
    <cellStyle name="Comma 213 2 2" xfId="3549" xr:uid="{127FCC4D-1484-487E-A8F5-47C3B0CDB4F0}"/>
    <cellStyle name="Comma 213 3" xfId="2519" xr:uid="{67383725-8946-4FA5-B256-ABD77FF1A183}"/>
    <cellStyle name="Comma 213 4" xfId="4645" xr:uid="{945D3BE5-77E7-4B05-8453-C1B6376E4407}"/>
    <cellStyle name="Comma 214" xfId="454" xr:uid="{940018F7-E02B-428F-BBBB-C8B7C8C0E5EB}"/>
    <cellStyle name="Comma 214 2" xfId="1492" xr:uid="{CC0B8906-6419-4BA8-8FB9-3AEE9BD5F2D3}"/>
    <cellStyle name="Comma 214 2 2" xfId="3550" xr:uid="{6B83AFEE-31C5-499B-8589-EE438FE058DA}"/>
    <cellStyle name="Comma 214 3" xfId="2520" xr:uid="{7F53F612-1886-474F-8CDB-DEB3C903E2AA}"/>
    <cellStyle name="Comma 214 4" xfId="4646" xr:uid="{A946399C-C2FB-4939-97C8-58BC6F4633BC}"/>
    <cellStyle name="Comma 215" xfId="455" xr:uid="{7287D0FC-6B30-4419-9B5A-F1DD517D5F8F}"/>
    <cellStyle name="Comma 215 2" xfId="1493" xr:uid="{4328F766-D3F6-419C-BDDF-31E7E9082AC2}"/>
    <cellStyle name="Comma 215 2 2" xfId="3551" xr:uid="{83C189E1-7B4E-4122-B59F-884A65892B1F}"/>
    <cellStyle name="Comma 215 3" xfId="2521" xr:uid="{27855A98-2DBC-4702-90E5-D34F69483C5F}"/>
    <cellStyle name="Comma 215 4" xfId="4647" xr:uid="{31A89BC6-366C-4B55-AEB3-E524A3A6EA8D}"/>
    <cellStyle name="Comma 216" xfId="456" xr:uid="{3C645270-35D2-4FE2-9E86-B17DBAD976B6}"/>
    <cellStyle name="Comma 216 2" xfId="1494" xr:uid="{97E7EAEF-3A2F-4601-A5EA-D8EC1E4FDF98}"/>
    <cellStyle name="Comma 216 2 2" xfId="3552" xr:uid="{F1A2146D-EF90-4653-AB8B-E959A349DEA8}"/>
    <cellStyle name="Comma 216 3" xfId="2522" xr:uid="{E182B9F4-6C59-4255-896F-FCED5446C33D}"/>
    <cellStyle name="Comma 216 4" xfId="4648" xr:uid="{FF83C4BD-B8EB-4BD3-8A34-FC2A7B185101}"/>
    <cellStyle name="Comma 217" xfId="457" xr:uid="{9A9C53CB-F370-4120-BE40-8DDF3F3A2608}"/>
    <cellStyle name="Comma 217 2" xfId="1495" xr:uid="{9788EC3E-6382-4E9E-8549-562241E85FD5}"/>
    <cellStyle name="Comma 217 2 2" xfId="3553" xr:uid="{ED84D7B9-9B1D-442C-8CB9-C668D8B60CD8}"/>
    <cellStyle name="Comma 217 3" xfId="2523" xr:uid="{4E2DFBF3-172F-4009-8877-6C4B46E570AE}"/>
    <cellStyle name="Comma 217 4" xfId="4649" xr:uid="{EEEFFE9D-D20E-4B33-B8E9-8F42985DCC24}"/>
    <cellStyle name="Comma 218" xfId="458" xr:uid="{A9F0793C-0767-4561-869F-FBF54D8788E3}"/>
    <cellStyle name="Comma 218 2" xfId="1496" xr:uid="{36F46264-14CD-4C42-B705-99C4B98CBD08}"/>
    <cellStyle name="Comma 218 2 2" xfId="3554" xr:uid="{D03203E7-0E52-4629-BAA8-56B4885D74CF}"/>
    <cellStyle name="Comma 218 3" xfId="2524" xr:uid="{363898EC-2BF9-4281-9245-5B41B3FCE775}"/>
    <cellStyle name="Comma 218 4" xfId="4650" xr:uid="{86B4FBA5-6315-4B39-9D93-C34019DE1CA2}"/>
    <cellStyle name="Comma 219" xfId="459" xr:uid="{B5DE3158-23B0-40C4-8940-BB766419367D}"/>
    <cellStyle name="Comma 219 2" xfId="1497" xr:uid="{1B67CB5A-A9E3-485B-BBB4-06FD3EE2FE2A}"/>
    <cellStyle name="Comma 219 2 2" xfId="3555" xr:uid="{10D8F35B-6190-46E6-8747-DAB4FAD57320}"/>
    <cellStyle name="Comma 219 3" xfId="2525" xr:uid="{0EED7B06-30D1-4305-86A4-09E384B01D5D}"/>
    <cellStyle name="Comma 219 4" xfId="4651" xr:uid="{5A3BFDF8-2EBD-4E74-9E7E-7DF31EF8AD2E}"/>
    <cellStyle name="Comma 22" xfId="213" xr:uid="{88EE0191-8962-4734-B181-9CD5DDAB591A}"/>
    <cellStyle name="Comma 22 2" xfId="1299" xr:uid="{83AAF6BE-FFA0-4F84-9906-E8DD3926233C}"/>
    <cellStyle name="Comma 22 2 2" xfId="3357" xr:uid="{A8A375C1-4023-4DE2-9DE6-D46A20D430A9}"/>
    <cellStyle name="Comma 22 3" xfId="2327" xr:uid="{CA110876-6C97-4F2C-A572-79C964026270}"/>
    <cellStyle name="Comma 22 4" xfId="4453" xr:uid="{DD06D853-ADFC-4DF7-95C3-566712038166}"/>
    <cellStyle name="Comma 220" xfId="460" xr:uid="{B7FADD65-F33F-4C59-89A4-4D41C94ABAEE}"/>
    <cellStyle name="Comma 220 2" xfId="1498" xr:uid="{D8F1669E-E272-4C58-A100-C35EAC5CCF09}"/>
    <cellStyle name="Comma 220 2 2" xfId="3556" xr:uid="{88D23530-686F-4764-9F81-4C3C04462E74}"/>
    <cellStyle name="Comma 220 3" xfId="2526" xr:uid="{E239086B-0AE9-413D-96E7-A0F6DA678EEA}"/>
    <cellStyle name="Comma 220 4" xfId="4652" xr:uid="{FABE4EDB-0CF3-427A-96EF-048CCB444ED2}"/>
    <cellStyle name="Comma 221" xfId="461" xr:uid="{C1142A0A-4441-4FA5-9B79-0516692BCA47}"/>
    <cellStyle name="Comma 221 2" xfId="1499" xr:uid="{D80D5890-B9A3-45EB-AFC2-4F9F9C5AEABB}"/>
    <cellStyle name="Comma 221 2 2" xfId="3557" xr:uid="{8F21709E-A1A1-4519-A5AD-31F3D558EF59}"/>
    <cellStyle name="Comma 221 3" xfId="2527" xr:uid="{BC328D33-48F3-4C16-80B0-D08B762C1173}"/>
    <cellStyle name="Comma 221 4" xfId="4653" xr:uid="{EED7BD71-BBD7-472E-BCA2-68D4A7BE0C2C}"/>
    <cellStyle name="Comma 222" xfId="462" xr:uid="{0168BFC0-A824-4001-B8DB-80C1AC2A6F67}"/>
    <cellStyle name="Comma 222 2" xfId="1500" xr:uid="{EA3102AB-6A84-4097-A776-D5D4BA45BB9F}"/>
    <cellStyle name="Comma 222 2 2" xfId="3558" xr:uid="{D10252BA-803E-4D4C-B4D5-51EB654B9F04}"/>
    <cellStyle name="Comma 222 3" xfId="2528" xr:uid="{56043045-8332-4977-9B3C-DDD819B9A973}"/>
    <cellStyle name="Comma 222 4" xfId="4654" xr:uid="{13CD6256-C321-4935-9864-3FB7CEBD69B9}"/>
    <cellStyle name="Comma 223" xfId="463" xr:uid="{5E775EA0-60D1-46A6-984A-BBF1100E6D96}"/>
    <cellStyle name="Comma 223 2" xfId="1501" xr:uid="{0BF320CC-D6FE-4865-A146-F83E9CA6FB16}"/>
    <cellStyle name="Comma 223 2 2" xfId="3559" xr:uid="{45CE7907-1473-483C-A66E-FC6C133CFF9F}"/>
    <cellStyle name="Comma 223 3" xfId="2529" xr:uid="{CE3F1A03-7A38-43B1-B1C1-80E2656353CA}"/>
    <cellStyle name="Comma 223 4" xfId="4655" xr:uid="{48AF87CA-CB1C-4B2D-BB50-D8B8494083D4}"/>
    <cellStyle name="Comma 224" xfId="464" xr:uid="{0F77EC27-F33A-4147-A58E-E5BC99372D3D}"/>
    <cellStyle name="Comma 224 2" xfId="1502" xr:uid="{0283AF9D-2E86-4764-B5D5-6080FD184997}"/>
    <cellStyle name="Comma 224 2 2" xfId="3560" xr:uid="{948C4F30-8451-4B5A-B344-D91F8E5652C4}"/>
    <cellStyle name="Comma 224 3" xfId="2530" xr:uid="{61C629B3-709D-4808-B582-D6D795FB2DE9}"/>
    <cellStyle name="Comma 224 4" xfId="4656" xr:uid="{737490D1-EFC6-491B-BBEC-B36606BDD8B3}"/>
    <cellStyle name="Comma 225" xfId="465" xr:uid="{F286CFBC-C4C0-4786-BF57-E613A67F4392}"/>
    <cellStyle name="Comma 225 2" xfId="1503" xr:uid="{6B1BBEE2-0B1C-4586-B0CB-B0C2FFE247D8}"/>
    <cellStyle name="Comma 225 2 2" xfId="3561" xr:uid="{4B65BF11-FA71-4B1E-AF05-7331C426F16C}"/>
    <cellStyle name="Comma 225 3" xfId="2531" xr:uid="{4DDEFB2E-8789-49BA-8204-4155AC592D8E}"/>
    <cellStyle name="Comma 225 4" xfId="4657" xr:uid="{297DDAD7-2AA6-4F31-B0C6-BAA5AB0A2110}"/>
    <cellStyle name="Comma 226" xfId="466" xr:uid="{B8594EFE-22A6-4C48-BC9F-F022E8A4CF90}"/>
    <cellStyle name="Comma 226 2" xfId="1504" xr:uid="{D0CBBB47-0C34-4C8D-BFF5-34F262B7793B}"/>
    <cellStyle name="Comma 226 2 2" xfId="3562" xr:uid="{6C2DB793-D466-4981-A3B6-9F723DC6939B}"/>
    <cellStyle name="Comma 226 3" xfId="2532" xr:uid="{FCF5C4BE-9FA4-4B45-9CCF-8FD23B9548AB}"/>
    <cellStyle name="Comma 226 4" xfId="4658" xr:uid="{619A50B6-3438-4396-95A7-7747F466825F}"/>
    <cellStyle name="Comma 227" xfId="467" xr:uid="{D31CE7FC-3D9D-41D0-ADD9-4B976342AD40}"/>
    <cellStyle name="Comma 227 2" xfId="1505" xr:uid="{1A4A3498-4FFC-476B-920C-2FC68830F867}"/>
    <cellStyle name="Comma 227 2 2" xfId="3563" xr:uid="{48EA1654-0CAA-463B-A12E-B739A120F02F}"/>
    <cellStyle name="Comma 227 3" xfId="2533" xr:uid="{F6F776AC-2C80-49AF-A3CE-86F771140360}"/>
    <cellStyle name="Comma 227 4" xfId="4659" xr:uid="{49DBE360-7FC5-4C13-A2C4-D84E9EB0831A}"/>
    <cellStyle name="Comma 228" xfId="468" xr:uid="{CEDD4526-892E-4E51-8177-9A94B843D1CF}"/>
    <cellStyle name="Comma 228 2" xfId="1506" xr:uid="{BDB2A027-7730-4E2E-877F-D3C3509488F1}"/>
    <cellStyle name="Comma 228 2 2" xfId="3564" xr:uid="{475C01D3-244D-4FAF-8CBA-836FED81E6AC}"/>
    <cellStyle name="Comma 228 3" xfId="2534" xr:uid="{AFCC032B-1064-4D4F-BDE2-CEB1126D250A}"/>
    <cellStyle name="Comma 228 4" xfId="4660" xr:uid="{0CE9E42F-BBE2-4662-B5AF-C13DD59BA7B6}"/>
    <cellStyle name="Comma 229" xfId="469" xr:uid="{765DEB17-693E-4FC8-86F2-0F7D0D089D39}"/>
    <cellStyle name="Comma 229 2" xfId="1507" xr:uid="{3176FAA3-7EFF-4F68-B41F-6936A48AA273}"/>
    <cellStyle name="Comma 229 2 2" xfId="3565" xr:uid="{9CF54E80-A05B-46C1-9B8F-FB73ED873579}"/>
    <cellStyle name="Comma 229 3" xfId="2535" xr:uid="{23C10B60-2A7B-42B0-936A-AF36C7DE9685}"/>
    <cellStyle name="Comma 229 4" xfId="4661" xr:uid="{8CED921A-3BCD-4BF2-9AB2-B534C4D1F271}"/>
    <cellStyle name="Comma 23" xfId="214" xr:uid="{4BF7128E-AA12-4036-A640-1FB598C5BF12}"/>
    <cellStyle name="Comma 23 2" xfId="1300" xr:uid="{107F8457-59BC-4196-8AD1-A8088CF7BFA5}"/>
    <cellStyle name="Comma 23 2 2" xfId="3358" xr:uid="{6C4BAC88-8D9C-44F2-8BAC-3F1B75DE0235}"/>
    <cellStyle name="Comma 23 3" xfId="2328" xr:uid="{998407A5-8F76-4C2A-8FE8-AE788D950299}"/>
    <cellStyle name="Comma 23 4" xfId="4454" xr:uid="{E597094B-F315-4855-A075-292155CF1E73}"/>
    <cellStyle name="Comma 230" xfId="470" xr:uid="{98452640-2A46-4CF5-81D8-32F30294139E}"/>
    <cellStyle name="Comma 230 2" xfId="1508" xr:uid="{C99CB060-F6C2-4456-9548-9DE2F33557EC}"/>
    <cellStyle name="Comma 230 2 2" xfId="3566" xr:uid="{48A11789-8D69-4401-9C27-FDEB9575289B}"/>
    <cellStyle name="Comma 230 3" xfId="2536" xr:uid="{0C1FA420-083E-4BE5-80C8-7FD4FB83C878}"/>
    <cellStyle name="Comma 230 4" xfId="4662" xr:uid="{E0DBFD5E-B30E-41EC-B82E-132D4B4C0F74}"/>
    <cellStyle name="Comma 231" xfId="471" xr:uid="{A920A765-E754-4B5E-81AD-92590060E223}"/>
    <cellStyle name="Comma 231 2" xfId="1509" xr:uid="{327B56BD-323A-473F-9D08-B3DBCD32ABC3}"/>
    <cellStyle name="Comma 231 2 2" xfId="3567" xr:uid="{CCC5C52E-F6A6-40C3-814A-F329BA98DB1C}"/>
    <cellStyle name="Comma 231 3" xfId="2537" xr:uid="{F8DF79E2-2601-429E-B13E-609162EFBB9E}"/>
    <cellStyle name="Comma 231 4" xfId="4663" xr:uid="{FD0F6191-7375-4AE0-AF45-E43A7198ED2A}"/>
    <cellStyle name="Comma 232" xfId="472" xr:uid="{544B8291-FA52-41BE-8168-F14189A1EB69}"/>
    <cellStyle name="Comma 232 2" xfId="1510" xr:uid="{0B67BC9C-7044-433F-BBF1-478C18C75B4E}"/>
    <cellStyle name="Comma 232 2 2" xfId="3568" xr:uid="{5B2B9BB6-44A8-44D4-B301-5D5CB819B211}"/>
    <cellStyle name="Comma 232 3" xfId="2538" xr:uid="{E8CEE619-E6A5-45FC-A31F-B1B7DA7A1DC3}"/>
    <cellStyle name="Comma 232 4" xfId="4664" xr:uid="{9F776979-E01F-497D-81A8-2F245DEDE0A0}"/>
    <cellStyle name="Comma 233" xfId="473" xr:uid="{25749DF8-F369-4AF0-90D7-9452173AC158}"/>
    <cellStyle name="Comma 233 2" xfId="1511" xr:uid="{15033FB4-D946-459B-8740-5E6CE17875A8}"/>
    <cellStyle name="Comma 233 2 2" xfId="3569" xr:uid="{8E7194F4-5B4C-46A8-8E4F-D6555C58A354}"/>
    <cellStyle name="Comma 233 3" xfId="2539" xr:uid="{536CFE87-ED96-46CE-9B64-9F2104065CB1}"/>
    <cellStyle name="Comma 233 4" xfId="4665" xr:uid="{4902FDD0-7E44-4B63-89B9-02389FF44852}"/>
    <cellStyle name="Comma 234" xfId="474" xr:uid="{03EC7F72-7705-4895-B944-4EC7AE906B65}"/>
    <cellStyle name="Comma 234 2" xfId="1512" xr:uid="{5B114A56-86CF-4213-8B9B-E7E77EA2625E}"/>
    <cellStyle name="Comma 234 2 2" xfId="3570" xr:uid="{44A52D0E-8249-44E6-B76B-C1E0BED22ECD}"/>
    <cellStyle name="Comma 234 3" xfId="2540" xr:uid="{05BC428E-9B7A-4F23-9A9C-0C7CE19492F0}"/>
    <cellStyle name="Comma 234 4" xfId="4666" xr:uid="{C4F3EDE8-D7CD-4141-95B1-E3BA70F13119}"/>
    <cellStyle name="Comma 235" xfId="475" xr:uid="{40401623-7FC0-43B5-AA1F-D8FD6EF77DD7}"/>
    <cellStyle name="Comma 235 2" xfId="1513" xr:uid="{459280E9-4653-4F2C-9A83-91CD51B80519}"/>
    <cellStyle name="Comma 235 2 2" xfId="3571" xr:uid="{E390040B-D90F-4D1C-9E6A-C722D058DE87}"/>
    <cellStyle name="Comma 235 3" xfId="2541" xr:uid="{2CDED412-E67D-44B7-A0C3-43385779A13E}"/>
    <cellStyle name="Comma 235 4" xfId="4667" xr:uid="{9B7D1453-5F85-4093-8617-5759DB5C6FCA}"/>
    <cellStyle name="Comma 236" xfId="476" xr:uid="{364B6CF8-40C5-45C8-AFB7-FA255D8837DE}"/>
    <cellStyle name="Comma 236 2" xfId="1514" xr:uid="{B3926A3A-6FD5-4E03-9A9A-61AD5905C80A}"/>
    <cellStyle name="Comma 236 2 2" xfId="3572" xr:uid="{1BD3E0AE-76EC-420C-B64F-10363FEA2B9F}"/>
    <cellStyle name="Comma 236 3" xfId="2542" xr:uid="{04CDF74B-6234-4633-A5AA-FBAE9405A738}"/>
    <cellStyle name="Comma 236 4" xfId="4668" xr:uid="{4C8C896C-1D82-4906-A2A8-7E3BC974A3B8}"/>
    <cellStyle name="Comma 237" xfId="477" xr:uid="{AC37D035-AE2B-47AD-95F9-A14993864854}"/>
    <cellStyle name="Comma 237 2" xfId="1515" xr:uid="{9CF144EB-7A62-4DD4-B0F2-091468CC73CC}"/>
    <cellStyle name="Comma 237 2 2" xfId="3573" xr:uid="{C2CED122-DE6A-4343-9677-75811866F66B}"/>
    <cellStyle name="Comma 237 3" xfId="2543" xr:uid="{0065E7F6-2D3A-4452-81C8-D245D73CF641}"/>
    <cellStyle name="Comma 237 4" xfId="4669" xr:uid="{DBDAFCED-551F-4892-9B50-7EA62F9E209B}"/>
    <cellStyle name="Comma 238" xfId="478" xr:uid="{20CF4967-A5E2-45D9-AA16-C393F15651EF}"/>
    <cellStyle name="Comma 238 2" xfId="1516" xr:uid="{4FD8BB47-9DEB-44F1-AEF6-35EB8AE64924}"/>
    <cellStyle name="Comma 238 2 2" xfId="3574" xr:uid="{42A75A34-9022-4D7A-B9C3-D17C34F0E935}"/>
    <cellStyle name="Comma 238 3" xfId="2544" xr:uid="{F5884709-15AF-459A-BE8F-D50688C74390}"/>
    <cellStyle name="Comma 238 4" xfId="4670" xr:uid="{1BA8DF60-C912-423A-B05E-325557F98A2E}"/>
    <cellStyle name="Comma 239" xfId="479" xr:uid="{7C2B75CE-4E09-4352-8CC1-777DA7565D27}"/>
    <cellStyle name="Comma 239 2" xfId="1517" xr:uid="{75DB1412-B815-4440-AF94-B14E95EDF75B}"/>
    <cellStyle name="Comma 239 2 2" xfId="3575" xr:uid="{DBD1E476-4DF8-47E7-9ED6-98B9CA31170C}"/>
    <cellStyle name="Comma 239 3" xfId="2545" xr:uid="{F2401B4D-E434-4FE3-9970-587C7569BDE0}"/>
    <cellStyle name="Comma 239 4" xfId="4671" xr:uid="{F57F8D06-6EDE-44C0-BA93-A24047D53F1E}"/>
    <cellStyle name="Comma 24" xfId="215" xr:uid="{06E651B3-6B4D-44BF-862B-079A5F0DB4FE}"/>
    <cellStyle name="Comma 24 2" xfId="1301" xr:uid="{9173EDEA-7324-483D-8B5A-9C91AE92913E}"/>
    <cellStyle name="Comma 24 2 2" xfId="3359" xr:uid="{D273FC1B-7340-48A8-B1CF-D67811861A4A}"/>
    <cellStyle name="Comma 24 3" xfId="2329" xr:uid="{4498B18E-76B1-47AB-825B-F72DE4950CB9}"/>
    <cellStyle name="Comma 24 4" xfId="4455" xr:uid="{765F4673-D103-45D7-AB94-4CD35CD0D416}"/>
    <cellStyle name="Comma 240" xfId="480" xr:uid="{49F776DE-0701-4F38-A926-4DE93682AC4D}"/>
    <cellStyle name="Comma 240 2" xfId="1518" xr:uid="{1D6BEE60-AE65-4959-910E-D12B324F92A8}"/>
    <cellStyle name="Comma 240 2 2" xfId="3576" xr:uid="{87DD7C23-2AD8-4834-878D-90DE06D236F1}"/>
    <cellStyle name="Comma 240 3" xfId="2546" xr:uid="{A129A390-10BE-46C0-AA51-75CD7ADAE2A2}"/>
    <cellStyle name="Comma 240 4" xfId="4672" xr:uid="{082BE320-F5BD-4D15-837D-332061A01E63}"/>
    <cellStyle name="Comma 241" xfId="481" xr:uid="{4A766096-884F-4AA5-8995-9BEED1C5BAF1}"/>
    <cellStyle name="Comma 241 2" xfId="1519" xr:uid="{F6A8B6BC-BCE8-4E59-9061-358E773E4BC9}"/>
    <cellStyle name="Comma 241 2 2" xfId="3577" xr:uid="{2078A663-9411-48C6-BB39-BA47085D005C}"/>
    <cellStyle name="Comma 241 3" xfId="2547" xr:uid="{69E1B2BA-13D2-4B75-AA46-462ED5D469E5}"/>
    <cellStyle name="Comma 241 4" xfId="4673" xr:uid="{9AA63C4D-25AB-42F1-941B-5589D57D2CFF}"/>
    <cellStyle name="Comma 242" xfId="482" xr:uid="{5760D6F6-CC45-48CE-A79D-05D23E3D3CC2}"/>
    <cellStyle name="Comma 242 2" xfId="1520" xr:uid="{CA5C90F0-E81F-42D3-9C4C-164EC506D275}"/>
    <cellStyle name="Comma 242 2 2" xfId="3578" xr:uid="{53226929-B373-4C2F-A053-D289C693B864}"/>
    <cellStyle name="Comma 242 3" xfId="2548" xr:uid="{37D66AB3-381E-4727-824F-4C5F11E2894D}"/>
    <cellStyle name="Comma 242 4" xfId="4674" xr:uid="{A006B76D-78A1-49DB-9F36-C68518868B7F}"/>
    <cellStyle name="Comma 243" xfId="483" xr:uid="{DD72A767-377E-4070-BC01-CBBCA4BAB2E2}"/>
    <cellStyle name="Comma 243 2" xfId="1521" xr:uid="{527415A4-1461-4008-A72E-E2618557FEC7}"/>
    <cellStyle name="Comma 243 2 2" xfId="3579" xr:uid="{4B5A7C80-3AFC-44DA-97CF-693B148BF813}"/>
    <cellStyle name="Comma 243 3" xfId="2549" xr:uid="{8F124171-6FDF-4A96-B824-C6A398D76DC8}"/>
    <cellStyle name="Comma 243 4" xfId="4675" xr:uid="{B1A8CDC4-674D-4699-B576-1D9EB14A85F2}"/>
    <cellStyle name="Comma 244" xfId="484" xr:uid="{6480BFA2-A6A3-469A-97BA-9E0DEDF3652A}"/>
    <cellStyle name="Comma 244 2" xfId="1522" xr:uid="{4E89C888-8787-4711-9FCA-468168838265}"/>
    <cellStyle name="Comma 244 2 2" xfId="3580" xr:uid="{0A4B53C9-07BD-4A83-AB9F-5E2D13E77F76}"/>
    <cellStyle name="Comma 244 3" xfId="2550" xr:uid="{A192697F-EB5A-4305-A2BF-C40A874A5925}"/>
    <cellStyle name="Comma 244 4" xfId="4676" xr:uid="{D921469D-DEFF-4F5A-B827-C0F756D56E20}"/>
    <cellStyle name="Comma 245" xfId="485" xr:uid="{A98AAF3A-65E9-41A4-A7A6-AD511EA9F8B3}"/>
    <cellStyle name="Comma 245 2" xfId="1523" xr:uid="{F56A2AA2-3657-4BA6-87E9-E4F2E213C613}"/>
    <cellStyle name="Comma 245 2 2" xfId="3581" xr:uid="{34B497B8-55B6-4A6A-A9ED-0430D03455D0}"/>
    <cellStyle name="Comma 245 3" xfId="2551" xr:uid="{3A978234-387A-4011-865F-73250E75EB8A}"/>
    <cellStyle name="Comma 245 4" xfId="4677" xr:uid="{8FA8F9D6-85D0-4517-A0C9-7792A8A4B972}"/>
    <cellStyle name="Comma 246" xfId="486" xr:uid="{F60CD3A0-1B27-4BC2-B1DC-6685CE41284B}"/>
    <cellStyle name="Comma 246 2" xfId="1524" xr:uid="{9B18CEE6-9C4B-4DE8-A83C-DD99D796B24F}"/>
    <cellStyle name="Comma 246 2 2" xfId="3582" xr:uid="{61E258B5-1EF3-433E-96EB-2FA5ADD3B461}"/>
    <cellStyle name="Comma 246 3" xfId="2552" xr:uid="{852D3334-F534-4D17-9451-AEAF15943639}"/>
    <cellStyle name="Comma 246 4" xfId="4678" xr:uid="{136DAD11-3F56-4FF3-861D-EC05A2EF01EB}"/>
    <cellStyle name="Comma 247" xfId="487" xr:uid="{E9F6DBDC-12AC-499D-99BF-D5EC5F5CF27C}"/>
    <cellStyle name="Comma 247 2" xfId="1525" xr:uid="{9F2B6082-6EA6-47BE-AD53-D74774267589}"/>
    <cellStyle name="Comma 247 2 2" xfId="3583" xr:uid="{3163C63E-D84F-4F23-BE07-7D1F66303957}"/>
    <cellStyle name="Comma 247 3" xfId="2553" xr:uid="{27506AD1-AE9F-4DA6-A86F-8EC936EF3B13}"/>
    <cellStyle name="Comma 247 4" xfId="4679" xr:uid="{18501224-24B0-4D25-A8B3-0A395F4BAC07}"/>
    <cellStyle name="Comma 248" xfId="488" xr:uid="{71533F21-8CBA-4D14-92DC-2D3475093C04}"/>
    <cellStyle name="Comma 248 2" xfId="1526" xr:uid="{2F7BB127-658B-4826-B987-C3AC3DF2D11A}"/>
    <cellStyle name="Comma 248 2 2" xfId="3584" xr:uid="{44F8E4C8-8FAF-499A-AABD-1363508B40CB}"/>
    <cellStyle name="Comma 248 3" xfId="2554" xr:uid="{2C759DE2-16C6-463C-A5B0-9D9F3CB7BA1F}"/>
    <cellStyle name="Comma 248 4" xfId="4680" xr:uid="{09E6BC39-DC24-48FF-BD83-CB9BE90701F3}"/>
    <cellStyle name="Comma 249" xfId="489" xr:uid="{B1716F28-FDA5-4868-876C-7162F942F733}"/>
    <cellStyle name="Comma 249 2" xfId="1527" xr:uid="{A8E9B585-5F78-41E3-9537-AB47540C65BC}"/>
    <cellStyle name="Comma 249 2 2" xfId="3585" xr:uid="{B73CEFA6-D6EC-4C09-BAA4-076B512F0387}"/>
    <cellStyle name="Comma 249 3" xfId="2555" xr:uid="{BA66669D-BFFA-469B-B325-B263840D927D}"/>
    <cellStyle name="Comma 249 4" xfId="4681" xr:uid="{0DBF909E-F505-4A9C-8787-F9DD932632F6}"/>
    <cellStyle name="Comma 25" xfId="216" xr:uid="{FAC7D06A-24D4-4EF1-A883-C0D6F47B82D9}"/>
    <cellStyle name="Comma 25 2" xfId="1302" xr:uid="{241EBD86-5157-49BE-B630-A836743D83F4}"/>
    <cellStyle name="Comma 25 2 2" xfId="3360" xr:uid="{233EABAF-6C97-4F52-91EF-7B29B7275227}"/>
    <cellStyle name="Comma 25 3" xfId="2330" xr:uid="{30B8F65B-4ED2-45C0-AF91-3DF507C95308}"/>
    <cellStyle name="Comma 25 4" xfId="4456" xr:uid="{A952FBE6-0D28-4EE4-80BD-AC8CEB2574B0}"/>
    <cellStyle name="Comma 250" xfId="490" xr:uid="{B810B881-3A6B-49D2-A563-E2385785C37A}"/>
    <cellStyle name="Comma 250 2" xfId="1528" xr:uid="{348DD740-7E52-4A91-A2AC-835B8FFCF0F3}"/>
    <cellStyle name="Comma 250 2 2" xfId="3586" xr:uid="{08746B9B-B2B3-4600-A666-4A5B20E48D23}"/>
    <cellStyle name="Comma 250 3" xfId="2556" xr:uid="{74302624-C74F-444E-8B8F-A14D1F0A0507}"/>
    <cellStyle name="Comma 250 4" xfId="4682" xr:uid="{BB97121A-664E-4E92-9D65-14AE5AAA03ED}"/>
    <cellStyle name="Comma 251" xfId="491" xr:uid="{3515735A-B5C0-42E4-9495-B2E42CBF0C6E}"/>
    <cellStyle name="Comma 251 2" xfId="1529" xr:uid="{A1D5281F-6B92-440A-9106-F201EB6B9E50}"/>
    <cellStyle name="Comma 251 2 2" xfId="3587" xr:uid="{698B6668-12AF-4830-9F80-F3ECAED44A24}"/>
    <cellStyle name="Comma 251 3" xfId="2557" xr:uid="{243DE1FB-6703-45C4-BB11-7E176C23AF95}"/>
    <cellStyle name="Comma 251 4" xfId="4683" xr:uid="{E02BE753-E309-422A-ABE6-B6C0A33C21BB}"/>
    <cellStyle name="Comma 252" xfId="492" xr:uid="{A2972D59-8576-4F1B-874E-BABF3933CAAD}"/>
    <cellStyle name="Comma 252 2" xfId="1530" xr:uid="{E2907EE2-E049-4F4F-BAE9-07CEC407DD94}"/>
    <cellStyle name="Comma 252 2 2" xfId="3588" xr:uid="{CD55CBC4-DF6B-4BCE-BC81-C6507EB81D77}"/>
    <cellStyle name="Comma 252 3" xfId="2558" xr:uid="{DAEFF718-5FF9-4B42-AA90-F39D2B8EFDB9}"/>
    <cellStyle name="Comma 252 4" xfId="4684" xr:uid="{2DAC3F45-CC47-47BF-AFA3-F38C5AB1877B}"/>
    <cellStyle name="Comma 253" xfId="493" xr:uid="{48FFDF7B-D3F3-4075-9932-D7CB7168EA66}"/>
    <cellStyle name="Comma 253 2" xfId="1531" xr:uid="{5742ABFE-6D0B-4795-B864-60781F6BAE17}"/>
    <cellStyle name="Comma 253 2 2" xfId="3589" xr:uid="{7DF3814A-B7A3-4A92-A4A8-2CA88FFAF3E0}"/>
    <cellStyle name="Comma 253 3" xfId="2559" xr:uid="{D5A48F88-1F37-4D21-B3B4-9A19EECFAACA}"/>
    <cellStyle name="Comma 253 4" xfId="4685" xr:uid="{8D5A8EB6-BF47-4443-8C29-EAFBCDEC7679}"/>
    <cellStyle name="Comma 254" xfId="494" xr:uid="{2AF908C9-7AF7-400B-9A90-6FBCE050CBCE}"/>
    <cellStyle name="Comma 254 2" xfId="1532" xr:uid="{92177B47-8571-4A65-95C7-39558DE1A376}"/>
    <cellStyle name="Comma 254 2 2" xfId="3590" xr:uid="{EF138D66-EA2E-494E-8AD5-0D35171742AD}"/>
    <cellStyle name="Comma 254 3" xfId="2560" xr:uid="{DDA26BBF-81CC-4D60-95B6-B19E6498BC4A}"/>
    <cellStyle name="Comma 254 4" xfId="4686" xr:uid="{5D4EF5A9-74BE-49E6-99D3-4E13AAF4C2AF}"/>
    <cellStyle name="Comma 255" xfId="495" xr:uid="{30BC0B54-EBB1-4075-83E2-20934EC8ED74}"/>
    <cellStyle name="Comma 255 2" xfId="1533" xr:uid="{B4905414-BC36-40AB-893B-0118679D557C}"/>
    <cellStyle name="Comma 255 2 2" xfId="3591" xr:uid="{0146B3E2-0D3E-485B-BD02-D39A732E5042}"/>
    <cellStyle name="Comma 255 3" xfId="2561" xr:uid="{87EB8CEE-F3F1-46F7-9BE4-6D2D67222C9D}"/>
    <cellStyle name="Comma 255 4" xfId="4687" xr:uid="{03C824AA-1CAA-440D-88DC-4C11BC58B655}"/>
    <cellStyle name="Comma 256" xfId="496" xr:uid="{5EC6D0B3-80D9-4DA2-9451-50243DE764BE}"/>
    <cellStyle name="Comma 256 2" xfId="1534" xr:uid="{B979F062-34CD-4410-8028-B390D1F5F192}"/>
    <cellStyle name="Comma 256 2 2" xfId="3592" xr:uid="{CBE5BC40-E01F-407E-A4A4-B4F5C3E067D4}"/>
    <cellStyle name="Comma 256 3" xfId="2562" xr:uid="{929F2C73-2EEE-45CC-B7ED-E384C1D95F30}"/>
    <cellStyle name="Comma 256 4" xfId="4688" xr:uid="{637D6C76-7626-4BF3-8885-BB52B3B7F5EA}"/>
    <cellStyle name="Comma 257" xfId="497" xr:uid="{14B74DC6-B7B3-4746-8381-0B3FA2E2A37E}"/>
    <cellStyle name="Comma 257 2" xfId="1535" xr:uid="{CAA2A404-1093-497C-A881-8D5EA337EBDA}"/>
    <cellStyle name="Comma 257 2 2" xfId="3593" xr:uid="{B8D5A104-3C23-4450-AA6C-F2423F0F9CD7}"/>
    <cellStyle name="Comma 257 3" xfId="2563" xr:uid="{20009CAA-1AB3-4663-9A1B-F2EAE7E77610}"/>
    <cellStyle name="Comma 257 4" xfId="4689" xr:uid="{D04E38F7-0AF0-47D6-9F0F-D5D5941C486E}"/>
    <cellStyle name="Comma 258" xfId="498" xr:uid="{EB8D4EB5-6ED8-4DE9-9C52-631FCEE2A88D}"/>
    <cellStyle name="Comma 258 2" xfId="1536" xr:uid="{3BE1D31C-F209-4CC1-86AD-6A358B86FC79}"/>
    <cellStyle name="Comma 258 2 2" xfId="3594" xr:uid="{81FCE40B-4D43-474D-8A0B-165C981314EA}"/>
    <cellStyle name="Comma 258 3" xfId="2564" xr:uid="{0746C1F8-78B4-447C-A5BA-BD5DC6BFFBE4}"/>
    <cellStyle name="Comma 258 4" xfId="4690" xr:uid="{928123DE-451D-46C9-9C6D-EFF92877CF02}"/>
    <cellStyle name="Comma 259" xfId="499" xr:uid="{E5FC105C-BFF5-40C6-8439-808E230499DC}"/>
    <cellStyle name="Comma 259 2" xfId="1537" xr:uid="{43ECD7F7-8E14-4D09-B29A-C995B8F8618B}"/>
    <cellStyle name="Comma 259 2 2" xfId="3595" xr:uid="{906FC790-5D69-4068-B38B-10AF397FDA85}"/>
    <cellStyle name="Comma 259 3" xfId="2565" xr:uid="{A1D088C0-73C0-4015-A0D7-73E37219D88E}"/>
    <cellStyle name="Comma 259 4" xfId="4691" xr:uid="{F7CC4263-28DA-418E-A4FC-D1642BC05D78}"/>
    <cellStyle name="Comma 26" xfId="217" xr:uid="{7C99FC7F-7EB1-4330-9BF6-FCD4591AAD0E}"/>
    <cellStyle name="Comma 26 2" xfId="1303" xr:uid="{9C97688D-42A2-4198-BB3A-CCB6408FDAE8}"/>
    <cellStyle name="Comma 26 2 2" xfId="3361" xr:uid="{B80CC0A1-703B-44B9-B26E-57E2F1EEE429}"/>
    <cellStyle name="Comma 26 3" xfId="2331" xr:uid="{C1FDDEBA-EF95-47FA-AFF3-1791304D0FD9}"/>
    <cellStyle name="Comma 26 4" xfId="4457" xr:uid="{930A53BE-8AC2-45C5-85BB-CA3734505835}"/>
    <cellStyle name="Comma 260" xfId="500" xr:uid="{F3A908AF-9715-44FC-8E1C-C84644282866}"/>
    <cellStyle name="Comma 260 2" xfId="1538" xr:uid="{50318284-20D2-43DF-98BE-16AC729B4739}"/>
    <cellStyle name="Comma 260 2 2" xfId="3596" xr:uid="{F5590AFB-7EF5-47E2-AA19-4CF807B52D36}"/>
    <cellStyle name="Comma 260 3" xfId="2566" xr:uid="{9A3D8EED-9263-473D-8097-BCE3C846E260}"/>
    <cellStyle name="Comma 260 4" xfId="4692" xr:uid="{EC164868-D013-441C-92B9-64B896EBB615}"/>
    <cellStyle name="Comma 261" xfId="501" xr:uid="{87B99693-1C37-40FF-8C0E-2279C6FE8636}"/>
    <cellStyle name="Comma 261 2" xfId="1539" xr:uid="{FD86DAC8-5D00-4AB1-83DD-5E4CE77D4D62}"/>
    <cellStyle name="Comma 261 2 2" xfId="3597" xr:uid="{23391CEA-93AE-4960-AD60-50C2CF06BD31}"/>
    <cellStyle name="Comma 261 3" xfId="2567" xr:uid="{17758A6F-85E2-4FD6-BE8E-B21F1FB49BC7}"/>
    <cellStyle name="Comma 261 4" xfId="4693" xr:uid="{C267292B-E15B-462D-ABF7-05C22569A2EA}"/>
    <cellStyle name="Comma 262" xfId="502" xr:uid="{56BFB532-A39A-4733-8832-AAED3724346B}"/>
    <cellStyle name="Comma 262 2" xfId="1540" xr:uid="{5BE74C8D-D754-498C-B820-EF36FD512FE5}"/>
    <cellStyle name="Comma 262 2 2" xfId="3598" xr:uid="{D99DAA6D-B16E-4BF1-A827-1BC237CED875}"/>
    <cellStyle name="Comma 262 3" xfId="2568" xr:uid="{22F12099-FC15-4BAA-AC5D-5C78C907675A}"/>
    <cellStyle name="Comma 262 4" xfId="4694" xr:uid="{3E4564DE-C23B-48DF-86FD-D2E38BEB961E}"/>
    <cellStyle name="Comma 263" xfId="503" xr:uid="{64C9F8AE-4EB4-471E-B8E0-287FACE58DCB}"/>
    <cellStyle name="Comma 263 2" xfId="1541" xr:uid="{E83B1510-F53A-4E1C-A775-AB1D5588356C}"/>
    <cellStyle name="Comma 263 2 2" xfId="3599" xr:uid="{F2C3F827-8F73-455B-AA36-CF789437CDBC}"/>
    <cellStyle name="Comma 263 3" xfId="2569" xr:uid="{0EBA7F16-8D60-4FC9-A2DE-F913938FFB41}"/>
    <cellStyle name="Comma 263 4" xfId="4695" xr:uid="{704F26E1-4CF0-41BD-87B9-BBD4D6E5C137}"/>
    <cellStyle name="Comma 264" xfId="504" xr:uid="{DC61318F-2684-48A8-BBBC-179344BF851D}"/>
    <cellStyle name="Comma 264 2" xfId="1542" xr:uid="{8079F54E-A1B2-4083-A6CD-603F3167D4B2}"/>
    <cellStyle name="Comma 264 2 2" xfId="3600" xr:uid="{8212A64F-36E3-4A9B-830A-F5B75C3070ED}"/>
    <cellStyle name="Comma 264 3" xfId="2570" xr:uid="{90E56A71-D916-436A-83BB-1F7186DBEC5A}"/>
    <cellStyle name="Comma 264 4" xfId="4696" xr:uid="{184D31C0-0A9D-4DE3-B3FA-7771C78B9951}"/>
    <cellStyle name="Comma 265" xfId="505" xr:uid="{123337B9-76F3-45C8-91FB-7A830B0997F2}"/>
    <cellStyle name="Comma 265 2" xfId="1543" xr:uid="{815046E4-6591-4AEE-A73A-EE2400FF8AEE}"/>
    <cellStyle name="Comma 265 2 2" xfId="3601" xr:uid="{4E2AE70F-8F65-4304-B7A0-BE2808154EE6}"/>
    <cellStyle name="Comma 265 3" xfId="2571" xr:uid="{DE2F1746-2B8D-4783-9316-46F45CF85CAF}"/>
    <cellStyle name="Comma 265 4" xfId="4697" xr:uid="{79DF77B9-594D-497C-98E3-EDA4B8CE1F4A}"/>
    <cellStyle name="Comma 266" xfId="506" xr:uid="{E866178A-5F7D-4860-A3C5-1B931E2D692D}"/>
    <cellStyle name="Comma 266 2" xfId="1544" xr:uid="{89EFEA44-12BF-4B17-BFF1-3281D9409980}"/>
    <cellStyle name="Comma 266 2 2" xfId="3602" xr:uid="{969D4857-5584-432B-A908-D56EBCFF823B}"/>
    <cellStyle name="Comma 266 3" xfId="2572" xr:uid="{06F64AFD-7F0A-4390-B229-B4D29F08DA14}"/>
    <cellStyle name="Comma 266 4" xfId="4698" xr:uid="{D07EC1BA-6F58-4B24-91E4-271B20BF314F}"/>
    <cellStyle name="Comma 267" xfId="507" xr:uid="{F7E52176-9755-404F-B61C-20F5FF391562}"/>
    <cellStyle name="Comma 267 2" xfId="1545" xr:uid="{CAAE19C2-F193-43A3-948A-7F0CC24ED1A7}"/>
    <cellStyle name="Comma 267 2 2" xfId="3603" xr:uid="{931A0C4D-14A3-4CA4-B640-0DAA6DD4B331}"/>
    <cellStyle name="Comma 267 3" xfId="2573" xr:uid="{B4061AE4-E29F-410F-A6EF-1669A5269924}"/>
    <cellStyle name="Comma 267 4" xfId="4699" xr:uid="{C9AC7CC7-80EE-43BB-8F68-7A9963B7D019}"/>
    <cellStyle name="Comma 268" xfId="508" xr:uid="{114C6196-B22D-4C23-9F83-E448E0C54635}"/>
    <cellStyle name="Comma 268 2" xfId="1546" xr:uid="{7E89381F-5826-4E11-B81B-B543D08DC31E}"/>
    <cellStyle name="Comma 268 2 2" xfId="3604" xr:uid="{A32ACA28-F836-4C7E-ADE0-5CF54FCB51F3}"/>
    <cellStyle name="Comma 268 3" xfId="2574" xr:uid="{6BC943C3-6FB9-48C9-9E2A-AD44A62B9253}"/>
    <cellStyle name="Comma 268 4" xfId="4700" xr:uid="{910B05DB-57CB-4F9A-B7A9-7F9923D51904}"/>
    <cellStyle name="Comma 269" xfId="509" xr:uid="{82C76B49-219B-4CA9-8F55-297347A0BBB1}"/>
    <cellStyle name="Comma 269 2" xfId="1547" xr:uid="{5A0C9B3A-7CB2-41D0-831D-3304CFD27756}"/>
    <cellStyle name="Comma 269 2 2" xfId="3605" xr:uid="{10F97217-326A-4A66-B086-3321C466329C}"/>
    <cellStyle name="Comma 269 3" xfId="2575" xr:uid="{0E6003F4-677C-4F40-9D9A-F995059B2857}"/>
    <cellStyle name="Comma 269 4" xfId="4701" xr:uid="{E926A744-B7CF-4363-B6D8-C9227BF7A322}"/>
    <cellStyle name="Comma 27" xfId="218" xr:uid="{F96F905A-DBFD-4A56-A426-784EC43CE868}"/>
    <cellStyle name="Comma 27 2" xfId="1304" xr:uid="{1296475D-E53C-4196-8779-A51008B6D903}"/>
    <cellStyle name="Comma 27 2 2" xfId="3362" xr:uid="{2150224A-31B5-489E-B49B-45D7BCA9BC20}"/>
    <cellStyle name="Comma 27 3" xfId="2332" xr:uid="{A1D2D90D-29FA-43E0-BCB0-D095641DA2F9}"/>
    <cellStyle name="Comma 27 4" xfId="4458" xr:uid="{A326F800-64E6-48FF-84AD-59697385485E}"/>
    <cellStyle name="Comma 270" xfId="510" xr:uid="{C5806A6F-D755-4C87-B9BB-CEA0F57816C9}"/>
    <cellStyle name="Comma 270 2" xfId="1548" xr:uid="{F6EC29E6-B0AC-4C62-88AF-36EEB3E61A43}"/>
    <cellStyle name="Comma 270 2 2" xfId="3606" xr:uid="{86D10A9F-2EF8-4092-A35E-EBCA10636FFE}"/>
    <cellStyle name="Comma 270 3" xfId="2576" xr:uid="{E60D6BFD-CDD1-4751-9EE8-3AB9D0495036}"/>
    <cellStyle name="Comma 270 4" xfId="4702" xr:uid="{A2A22927-6051-4FD9-975E-6CE9D31658D4}"/>
    <cellStyle name="Comma 271" xfId="511" xr:uid="{42AB6B7D-8BAA-4DDA-8CF0-4D774C6F93F9}"/>
    <cellStyle name="Comma 271 2" xfId="1549" xr:uid="{9868B58D-A5C8-41CA-8CE6-DC4A88B1FF96}"/>
    <cellStyle name="Comma 271 2 2" xfId="3607" xr:uid="{551DB08F-D52E-45E5-B81E-FC1D25705D7D}"/>
    <cellStyle name="Comma 271 3" xfId="2577" xr:uid="{C33626CB-009A-466E-868C-264CC920CF7A}"/>
    <cellStyle name="Comma 271 4" xfId="4703" xr:uid="{324021ED-FB71-41E1-926E-02B655FFA83E}"/>
    <cellStyle name="Comma 272" xfId="512" xr:uid="{F388964D-85EF-40B3-86EF-7020A373B4E2}"/>
    <cellStyle name="Comma 272 2" xfId="1550" xr:uid="{ED902CC6-7856-4137-8874-FC4E325FE804}"/>
    <cellStyle name="Comma 272 2 2" xfId="3608" xr:uid="{46E59F5F-9770-49EE-83A5-E07B107DD9E1}"/>
    <cellStyle name="Comma 272 3" xfId="2578" xr:uid="{EBBE1CE8-C591-4183-8278-BEA2A46583A7}"/>
    <cellStyle name="Comma 272 4" xfId="4704" xr:uid="{37BB90AA-EF9F-4AF4-BFC5-E4CC4E17B8C1}"/>
    <cellStyle name="Comma 273" xfId="513" xr:uid="{CFAD44A5-76FA-4D02-B68A-66DDDE888002}"/>
    <cellStyle name="Comma 273 2" xfId="1551" xr:uid="{2B98578C-8908-44C3-B636-D4F96E4F3570}"/>
    <cellStyle name="Comma 273 2 2" xfId="3609" xr:uid="{3FA77118-46A4-4627-96BA-916852EF5A27}"/>
    <cellStyle name="Comma 273 3" xfId="2579" xr:uid="{B1AF4A93-42C2-4210-B426-3B782EAE4199}"/>
    <cellStyle name="Comma 273 4" xfId="4705" xr:uid="{B607C1AE-9E1B-4A1C-A39D-BE70E6A64799}"/>
    <cellStyle name="Comma 274" xfId="514" xr:uid="{CD3C7E0D-8626-4824-95C5-AE6C67F70CB9}"/>
    <cellStyle name="Comma 274 2" xfId="1552" xr:uid="{3243C0B4-387B-45BC-B3D8-3EFFCDD37CAF}"/>
    <cellStyle name="Comma 274 2 2" xfId="3610" xr:uid="{1BC4083C-EAD9-4768-B35E-8A3F9F56FC63}"/>
    <cellStyle name="Comma 274 3" xfId="2580" xr:uid="{7EBD6306-A79F-465F-86EF-8E67149EFF96}"/>
    <cellStyle name="Comma 274 4" xfId="4706" xr:uid="{82B4CA3D-A579-47FC-BE87-5D6EFA65BA29}"/>
    <cellStyle name="Comma 275" xfId="515" xr:uid="{59F68C92-1A7A-4E3A-9201-666832B4F2F4}"/>
    <cellStyle name="Comma 275 2" xfId="1553" xr:uid="{2C042548-BA3A-4CDA-8F5C-6DD30CC9E3BC}"/>
    <cellStyle name="Comma 275 2 2" xfId="3611" xr:uid="{F43B88B5-097F-47A3-8E57-BF5710E0F4A4}"/>
    <cellStyle name="Comma 275 3" xfId="2581" xr:uid="{1899B210-B079-4A80-BA7B-CF444CA8AEBA}"/>
    <cellStyle name="Comma 275 4" xfId="4707" xr:uid="{14F61B1E-5592-4BBF-AC86-B1F76A87B68A}"/>
    <cellStyle name="Comma 276" xfId="516" xr:uid="{7E12F28A-35C5-4AE9-88FF-462160B562C7}"/>
    <cellStyle name="Comma 276 2" xfId="1554" xr:uid="{570439B8-38C5-4FF7-BC27-F0F5B8E0DFA3}"/>
    <cellStyle name="Comma 276 2 2" xfId="3612" xr:uid="{ED4493D8-33D2-40CD-A782-D06C087C1C25}"/>
    <cellStyle name="Comma 276 3" xfId="2582" xr:uid="{FF7FF158-34EB-4532-92A9-8BA6A0F9BAB9}"/>
    <cellStyle name="Comma 276 4" xfId="4708" xr:uid="{E46C877E-62C4-4DE4-87FD-4A39EB564768}"/>
    <cellStyle name="Comma 277" xfId="517" xr:uid="{7B8750D0-DF96-4F08-B94D-D8A36780CBB6}"/>
    <cellStyle name="Comma 277 2" xfId="1555" xr:uid="{49D1734E-5527-4D80-AAAF-F1FFEF03DCD9}"/>
    <cellStyle name="Comma 277 2 2" xfId="3613" xr:uid="{3A92A81F-33ED-4A2A-8FCA-710C4375F373}"/>
    <cellStyle name="Comma 277 3" xfId="2583" xr:uid="{3BFF507B-3BB0-4A4B-BD94-DE2057915AD6}"/>
    <cellStyle name="Comma 277 4" xfId="4709" xr:uid="{A83ACC76-3848-4D40-8D76-5484F6243D7A}"/>
    <cellStyle name="Comma 278" xfId="518" xr:uid="{70772D88-35BD-49EA-9760-EF74629C7951}"/>
    <cellStyle name="Comma 278 2" xfId="1556" xr:uid="{5EFA6BC6-EF4B-4B28-A5C2-36B23D1892C1}"/>
    <cellStyle name="Comma 278 2 2" xfId="3614" xr:uid="{6E5B3247-36AE-479B-9214-764267E99D28}"/>
    <cellStyle name="Comma 278 3" xfId="2584" xr:uid="{A99D9F09-9838-4F50-AE13-2315228F3B3F}"/>
    <cellStyle name="Comma 278 4" xfId="4710" xr:uid="{17563AB4-41F6-4D64-AA3D-375740B35068}"/>
    <cellStyle name="Comma 279" xfId="519" xr:uid="{09A902EF-1321-42CC-B761-2CF94F8C24EB}"/>
    <cellStyle name="Comma 279 2" xfId="1557" xr:uid="{40FE7E5A-C8F3-44DB-82CE-6D8718C23097}"/>
    <cellStyle name="Comma 279 2 2" xfId="3615" xr:uid="{755E72E2-DB42-4012-82CD-2DC60A3509C5}"/>
    <cellStyle name="Comma 279 3" xfId="2585" xr:uid="{433B48CC-ED24-42F9-ADAF-7758F8EBB5ED}"/>
    <cellStyle name="Comma 279 4" xfId="4711" xr:uid="{3EB192A2-CAEB-4B44-9533-34424133EFBC}"/>
    <cellStyle name="Comma 28" xfId="219" xr:uid="{8FC4E6B6-4883-4120-8C2F-EF67E0890ED3}"/>
    <cellStyle name="Comma 28 2" xfId="1305" xr:uid="{F7FABDB2-699A-4616-9704-B05700EF52F5}"/>
    <cellStyle name="Comma 28 2 2" xfId="3363" xr:uid="{7FA9E153-344D-4890-B805-62B793AC1074}"/>
    <cellStyle name="Comma 28 3" xfId="2333" xr:uid="{0B8A41D3-358A-4D49-B161-62F7D17B76CB}"/>
    <cellStyle name="Comma 28 4" xfId="4459" xr:uid="{01492A6C-AF92-4FBF-864C-4B8EA4DED880}"/>
    <cellStyle name="Comma 280" xfId="520" xr:uid="{F8CEC265-2B2B-468D-9F61-64FB5F086212}"/>
    <cellStyle name="Comma 280 2" xfId="1558" xr:uid="{485251EA-6299-4B5B-984A-6D7AD9CBC7F2}"/>
    <cellStyle name="Comma 280 2 2" xfId="3616" xr:uid="{2E16BFB7-A437-40A8-9A04-839C84112775}"/>
    <cellStyle name="Comma 280 3" xfId="2586" xr:uid="{488D4016-7CE7-4DC9-8B0F-11FC624AC25D}"/>
    <cellStyle name="Comma 280 4" xfId="4712" xr:uid="{29381CB3-4EA9-4216-BEA4-BA4F1F521A32}"/>
    <cellStyle name="Comma 281" xfId="521" xr:uid="{25C9D183-531B-4CD2-8B06-A500202EE41B}"/>
    <cellStyle name="Comma 281 2" xfId="1559" xr:uid="{CAB05921-1C8E-4426-B109-B2FC14ADBF5D}"/>
    <cellStyle name="Comma 281 2 2" xfId="3617" xr:uid="{35C8FAC8-24F7-47C9-8A1B-34CC5C4BB7CC}"/>
    <cellStyle name="Comma 281 3" xfId="2587" xr:uid="{6A51B79B-8587-4172-A146-E8F97510E1A2}"/>
    <cellStyle name="Comma 281 4" xfId="4713" xr:uid="{F3405409-B3C7-4908-955D-A7B37C6A7C5A}"/>
    <cellStyle name="Comma 282" xfId="522" xr:uid="{78F95613-A053-44AE-930C-DDDF99829935}"/>
    <cellStyle name="Comma 282 2" xfId="1560" xr:uid="{0B0FDD2D-ECD6-48F5-98CF-BEE63F271585}"/>
    <cellStyle name="Comma 282 2 2" xfId="3618" xr:uid="{8093E27B-2077-407C-B706-ED5EE1AD2C98}"/>
    <cellStyle name="Comma 282 3" xfId="2588" xr:uid="{32CC2892-5665-4025-BDBC-F759ED698F99}"/>
    <cellStyle name="Comma 282 4" xfId="4714" xr:uid="{46A5FFBA-74CA-4D1A-8BE8-9E93E3BD3E37}"/>
    <cellStyle name="Comma 283" xfId="523" xr:uid="{1C598791-041B-457F-8A7E-344CAA2A4D2F}"/>
    <cellStyle name="Comma 283 2" xfId="1561" xr:uid="{E37B4641-9927-49FD-BF37-BF95FB46BDB9}"/>
    <cellStyle name="Comma 283 2 2" xfId="3619" xr:uid="{2FB251A1-F431-4A9D-8E4B-0C727B68DD39}"/>
    <cellStyle name="Comma 283 3" xfId="2589" xr:uid="{3916AB13-56F0-43D6-91D0-11C717D43236}"/>
    <cellStyle name="Comma 283 4" xfId="4715" xr:uid="{8F491DAD-DEED-4EDD-A962-AA310A67865B}"/>
    <cellStyle name="Comma 284" xfId="524" xr:uid="{AEDDE0A3-9F6A-4DE9-AC79-19B28F5B1989}"/>
    <cellStyle name="Comma 284 2" xfId="1562" xr:uid="{0A2E78C3-8BEA-47BA-87B0-FC54D0A61FA0}"/>
    <cellStyle name="Comma 284 2 2" xfId="3620" xr:uid="{96E4ABFA-4FF3-421F-90F4-9C5805119E76}"/>
    <cellStyle name="Comma 284 3" xfId="2590" xr:uid="{F89D60F3-B0B5-4A47-A2EF-13B9702A5790}"/>
    <cellStyle name="Comma 284 4" xfId="4716" xr:uid="{27867856-FCD0-4DED-B967-05E0414E5BBF}"/>
    <cellStyle name="Comma 285" xfId="525" xr:uid="{6BC5A163-E49A-46FC-A269-14C5373CE538}"/>
    <cellStyle name="Comma 285 2" xfId="1563" xr:uid="{658D9A97-E168-4297-87EC-EF3248C55750}"/>
    <cellStyle name="Comma 285 2 2" xfId="3621" xr:uid="{923CE39A-3C89-4281-9DA4-6CBDDD6766A9}"/>
    <cellStyle name="Comma 285 3" xfId="2591" xr:uid="{3E4004ED-41C4-4A44-B543-FBF7ECDB4946}"/>
    <cellStyle name="Comma 285 4" xfId="4717" xr:uid="{8D14129E-6721-4D8E-AC12-1CB74F094712}"/>
    <cellStyle name="Comma 286" xfId="526" xr:uid="{5CA8EBF8-2B13-40A4-81E2-2145A79B91FD}"/>
    <cellStyle name="Comma 286 2" xfId="1564" xr:uid="{76465CFA-092E-495F-97E0-1BF90E74AFBB}"/>
    <cellStyle name="Comma 286 2 2" xfId="3622" xr:uid="{A3946C9C-D159-48A2-8BED-83E3CE177DFE}"/>
    <cellStyle name="Comma 286 3" xfId="2592" xr:uid="{6065D419-98A8-4AEA-8A8E-51BB7A707BCC}"/>
    <cellStyle name="Comma 286 4" xfId="4718" xr:uid="{D9E61179-C222-49F6-AD5C-FEB8010B1A78}"/>
    <cellStyle name="Comma 287" xfId="527" xr:uid="{67F04A28-2BD5-459C-B64A-3F9D3F4BC940}"/>
    <cellStyle name="Comma 287 2" xfId="1565" xr:uid="{E523D818-F1E4-4478-A900-8398F7FE39C0}"/>
    <cellStyle name="Comma 287 2 2" xfId="3623" xr:uid="{633F9334-F861-4543-8656-64F75094B1F1}"/>
    <cellStyle name="Comma 287 3" xfId="2593" xr:uid="{00227867-C7A9-4DB8-991A-EB62B75072E1}"/>
    <cellStyle name="Comma 287 4" xfId="4719" xr:uid="{9C6AE282-EE98-4ABC-8C02-BA48E640A83A}"/>
    <cellStyle name="Comma 288" xfId="528" xr:uid="{4CD260A2-E0D4-4CCA-92BA-02008EA506FD}"/>
    <cellStyle name="Comma 288 2" xfId="1566" xr:uid="{59ABCA6F-3AB7-4323-A58E-7A638D7FFDF2}"/>
    <cellStyle name="Comma 288 2 2" xfId="3624" xr:uid="{BE0DE7B3-D9DF-442F-BC87-801281D86CEA}"/>
    <cellStyle name="Comma 288 3" xfId="2594" xr:uid="{1DA7E453-BABE-43FF-A9BD-FA6E0BF5BED7}"/>
    <cellStyle name="Comma 288 4" xfId="4720" xr:uid="{5444C410-9260-4687-980C-01DDB7A2114E}"/>
    <cellStyle name="Comma 289" xfId="529" xr:uid="{566AD59D-67EB-4429-B1CD-7654DC31C414}"/>
    <cellStyle name="Comma 289 2" xfId="1567" xr:uid="{FE25765C-5DB9-4BD8-A71D-CCE283ADC57F}"/>
    <cellStyle name="Comma 289 2 2" xfId="3625" xr:uid="{D2EE1662-3E44-4219-A66A-2DA89071D76D}"/>
    <cellStyle name="Comma 289 3" xfId="2595" xr:uid="{3C72AFD3-87A5-44B6-88CB-93BCEB52B07A}"/>
    <cellStyle name="Comma 289 4" xfId="4721" xr:uid="{E654BE1A-1FFB-45BD-B7BD-EF32850D7A5B}"/>
    <cellStyle name="Comma 29" xfId="220" xr:uid="{6C11BF91-DBC8-4105-AD01-C515080A20C5}"/>
    <cellStyle name="Comma 29 2" xfId="1306" xr:uid="{B336D3C7-3DAD-405F-8183-6F3703C57F2D}"/>
    <cellStyle name="Comma 29 2 2" xfId="3364" xr:uid="{CBF87C08-5583-4723-85A9-DB24C2389AE8}"/>
    <cellStyle name="Comma 29 3" xfId="2334" xr:uid="{2C0A9DFF-A7EA-4FF8-8751-1C295601C598}"/>
    <cellStyle name="Comma 29 4" xfId="4460" xr:uid="{7BF738C1-300C-4B3F-9F7E-2FC62B33CFA1}"/>
    <cellStyle name="Comma 290" xfId="530" xr:uid="{443DBEF3-0B50-4FD9-9E19-1BD6C072AFB1}"/>
    <cellStyle name="Comma 290 2" xfId="1568" xr:uid="{1DEFAE1D-A0F0-47C9-82EF-DBB3F7EBB090}"/>
    <cellStyle name="Comma 290 2 2" xfId="3626" xr:uid="{0EB8FB1B-4120-4658-A867-388F6461083A}"/>
    <cellStyle name="Comma 290 3" xfId="2596" xr:uid="{436A20D0-4A76-46BE-91AC-DFEA88DC0DC3}"/>
    <cellStyle name="Comma 290 4" xfId="4722" xr:uid="{E45DED1C-90D1-4A55-97E0-03248DB96B46}"/>
    <cellStyle name="Comma 291" xfId="531" xr:uid="{2784211C-DE15-4A4C-AA7E-D8320B3BB3EB}"/>
    <cellStyle name="Comma 291 2" xfId="1569" xr:uid="{4B1520D8-B1DD-4B83-958F-900F630C7C22}"/>
    <cellStyle name="Comma 291 2 2" xfId="3627" xr:uid="{4931411B-5A1D-4F49-A618-049423FD0081}"/>
    <cellStyle name="Comma 291 3" xfId="2597" xr:uid="{288832E0-A2C6-4BEC-B106-A492015061B3}"/>
    <cellStyle name="Comma 291 4" xfId="4723" xr:uid="{DF665563-0FB5-400C-9222-43B8D4EC48FE}"/>
    <cellStyle name="Comma 292" xfId="532" xr:uid="{4843B861-8D30-4BE5-BDA4-37E4E356277C}"/>
    <cellStyle name="Comma 292 2" xfId="1570" xr:uid="{426B21FF-4490-4044-8E13-218876D5D2C3}"/>
    <cellStyle name="Comma 292 2 2" xfId="3628" xr:uid="{6536CE5C-4553-4D2C-9B5A-815EE53DE48A}"/>
    <cellStyle name="Comma 292 3" xfId="2598" xr:uid="{912A6EE1-80BE-4090-9561-07DC8CAD966E}"/>
    <cellStyle name="Comma 292 4" xfId="4724" xr:uid="{0528209C-A2E9-418D-B649-F472428853E8}"/>
    <cellStyle name="Comma 293" xfId="533" xr:uid="{E553E160-C12E-443C-A1AF-2356362A8E0F}"/>
    <cellStyle name="Comma 293 2" xfId="1571" xr:uid="{CCDB7664-499E-4C7F-A4DB-9720AFEDC432}"/>
    <cellStyle name="Comma 293 2 2" xfId="3629" xr:uid="{F28E80A5-450B-4E0A-BE08-5C0031F93B19}"/>
    <cellStyle name="Comma 293 3" xfId="2599" xr:uid="{025FF40B-14FD-4BB1-8D78-3B84E61CA5A2}"/>
    <cellStyle name="Comma 293 4" xfId="4725" xr:uid="{A5DBED01-0CB8-45B4-B1B9-4CA6DA16A0AD}"/>
    <cellStyle name="Comma 294" xfId="534" xr:uid="{DBBE0D2A-DFE2-4B95-961E-8FE5932F9D8D}"/>
    <cellStyle name="Comma 294 2" xfId="1572" xr:uid="{DCCF8299-F676-4AF5-9F37-0D53F6B30803}"/>
    <cellStyle name="Comma 294 2 2" xfId="3630" xr:uid="{D90BF484-9FD3-433F-AAEF-FB8132B276ED}"/>
    <cellStyle name="Comma 294 3" xfId="2600" xr:uid="{40BC9F1C-C03F-4CD5-A3C1-F8E00AF3ABC6}"/>
    <cellStyle name="Comma 294 4" xfId="4726" xr:uid="{6A6DFA39-D755-4594-AE8C-1907D114AC9C}"/>
    <cellStyle name="Comma 295" xfId="535" xr:uid="{CC310A86-DF5E-4CE1-905B-E63B68309E4D}"/>
    <cellStyle name="Comma 295 2" xfId="1573" xr:uid="{7C57B3AE-AAB4-416E-9AE4-ECC58C23AE84}"/>
    <cellStyle name="Comma 295 2 2" xfId="3631" xr:uid="{89BB2699-288E-48A1-B9C8-21538EE62A4B}"/>
    <cellStyle name="Comma 295 3" xfId="2601" xr:uid="{ECDFBD1F-41FD-42ED-A742-686F86FA9C1C}"/>
    <cellStyle name="Comma 295 4" xfId="4727" xr:uid="{847AD7BD-5C31-42D2-8C8D-5304F6566D33}"/>
    <cellStyle name="Comma 296" xfId="536" xr:uid="{79BEFBC8-4BE9-4359-9AC4-9DE0B48A8580}"/>
    <cellStyle name="Comma 296 2" xfId="1574" xr:uid="{54FCFF14-4303-4541-B7F5-22C16B81C6FC}"/>
    <cellStyle name="Comma 296 2 2" xfId="3632" xr:uid="{CEDFC768-4BA2-4154-B19B-D792590878B6}"/>
    <cellStyle name="Comma 296 3" xfId="2602" xr:uid="{1AAB30A0-6D46-42C3-A38F-A8D43165BC07}"/>
    <cellStyle name="Comma 296 4" xfId="4728" xr:uid="{29E5FB65-EA1C-4780-BF8F-2F53EFC14B69}"/>
    <cellStyle name="Comma 297" xfId="537" xr:uid="{8860C7A3-BC10-4F4D-815B-4F837D657958}"/>
    <cellStyle name="Comma 297 2" xfId="1575" xr:uid="{D3AB8D06-77C0-4313-B05C-4CC89D3A3B81}"/>
    <cellStyle name="Comma 297 2 2" xfId="3633" xr:uid="{E43C17F8-866C-49EF-B1DB-BBCFEA95A5A2}"/>
    <cellStyle name="Comma 297 3" xfId="2603" xr:uid="{496ECD53-C1C9-4DFE-924B-0745BD0F20C5}"/>
    <cellStyle name="Comma 297 4" xfId="4729" xr:uid="{80EBAAE2-8E52-434C-94B1-B36AED2593A1}"/>
    <cellStyle name="Comma 298" xfId="538" xr:uid="{9E890DFA-396F-4561-9447-9A974A799660}"/>
    <cellStyle name="Comma 298 2" xfId="1576" xr:uid="{37570124-68F0-46D2-AED7-BAAA4E46E201}"/>
    <cellStyle name="Comma 298 2 2" xfId="3634" xr:uid="{226A9949-8A80-4F23-85B0-5A4AB8E3D4C8}"/>
    <cellStyle name="Comma 298 3" xfId="2604" xr:uid="{43BD4114-8A3F-4936-87A3-2BA879F3AF0E}"/>
    <cellStyle name="Comma 298 4" xfId="4730" xr:uid="{25E4D8EA-6C17-494F-BB19-2B0AF548EC2D}"/>
    <cellStyle name="Comma 299" xfId="539" xr:uid="{E68E4A7C-B6DD-4C10-8D76-8921F5A643F2}"/>
    <cellStyle name="Comma 299 2" xfId="1577" xr:uid="{40E25484-1453-44C1-9A14-CAE987A0D55D}"/>
    <cellStyle name="Comma 299 2 2" xfId="3635" xr:uid="{52F9DAAC-E513-4BE8-BFAF-A3AD31C577DD}"/>
    <cellStyle name="Comma 299 3" xfId="2605" xr:uid="{1B9AD13C-11B7-4769-877D-D9F86A23F254}"/>
    <cellStyle name="Comma 299 4" xfId="4731" xr:uid="{06FB09F3-7F63-458C-B10D-DA1CA26FFF46}"/>
    <cellStyle name="Comma 3" xfId="70" xr:uid="{C3346164-E80B-4974-AEAD-60E90A414BA9}"/>
    <cellStyle name="Comma 3 2" xfId="71" xr:uid="{60C773DB-D108-4037-86D0-2BF7AFCBDF58}"/>
    <cellStyle name="Comma 3 2 2" xfId="1277" xr:uid="{3BFDF842-8166-4200-A1D5-8662EDB8ECC3}"/>
    <cellStyle name="Comma 3 2 2 2" xfId="3335" xr:uid="{C22735D1-3F57-4D8C-AF3B-BEC13056B447}"/>
    <cellStyle name="Comma 3 2 3" xfId="2305" xr:uid="{6608C437-FB7F-429E-802A-E9698A5961B1}"/>
    <cellStyle name="Comma 3 2 4" xfId="4431" xr:uid="{A1D8042B-676C-4428-8EED-96B213818C37}"/>
    <cellStyle name="Comma 3 3" xfId="72" xr:uid="{3B590112-92E0-4C6F-B73B-9875FCFACA5D}"/>
    <cellStyle name="Comma 3 3 2" xfId="1278" xr:uid="{00A39CF8-6306-4DF6-9464-D4E51C931EC4}"/>
    <cellStyle name="Comma 3 3 2 2" xfId="3336" xr:uid="{7C51197C-8BF8-47A0-985E-BF08ABB95CF2}"/>
    <cellStyle name="Comma 3 3 3" xfId="2306" xr:uid="{713E449F-42BA-4069-854D-131C916221E5}"/>
    <cellStyle name="Comma 3 3 4" xfId="4432" xr:uid="{A4A53D20-A265-4775-BE5B-0C828BEDC16B}"/>
    <cellStyle name="Comma 3 4" xfId="1276" xr:uid="{368C6E56-9C8C-495F-8B62-050178419C76}"/>
    <cellStyle name="Comma 3 4 2" xfId="3334" xr:uid="{4B32DA60-A5CB-4D03-B7AF-D00F1CA336B3}"/>
    <cellStyle name="Comma 3 5" xfId="2304" xr:uid="{A3BEF739-2EE8-4273-A95F-69F15DD73397}"/>
    <cellStyle name="Comma 3 6" xfId="4430" xr:uid="{F74F05F1-F93E-45BC-95A2-D3791BCF808A}"/>
    <cellStyle name="Comma 30" xfId="221" xr:uid="{70A0824E-14D2-4627-B9BA-AF37C8522B23}"/>
    <cellStyle name="Comma 30 2" xfId="1307" xr:uid="{0F0150F5-FAD3-4A93-AA17-30DEEB5F925B}"/>
    <cellStyle name="Comma 30 2 2" xfId="3365" xr:uid="{E2CD1A95-5649-4C10-8511-64E728548A10}"/>
    <cellStyle name="Comma 30 3" xfId="2335" xr:uid="{13357266-94E1-4632-A69B-D9D622D13B76}"/>
    <cellStyle name="Comma 30 4" xfId="4461" xr:uid="{A7CE06AB-289B-4888-A0DB-06065CD4D385}"/>
    <cellStyle name="Comma 300" xfId="540" xr:uid="{D2D8237D-D739-4B15-A3ED-3C48C3B3CC99}"/>
    <cellStyle name="Comma 300 2" xfId="1578" xr:uid="{C3283358-C221-46E4-8A96-ECFE0DB27907}"/>
    <cellStyle name="Comma 300 2 2" xfId="3636" xr:uid="{87123FE0-33E3-42A3-980C-F4D1A2A5D029}"/>
    <cellStyle name="Comma 300 3" xfId="2606" xr:uid="{AC3EC441-7479-4D97-AD03-40070B2E7305}"/>
    <cellStyle name="Comma 300 4" xfId="4732" xr:uid="{C2D884A5-257E-4934-B7F9-ED92655011E0}"/>
    <cellStyle name="Comma 301" xfId="541" xr:uid="{4237F323-9242-4A1B-B4EC-FE5910D42FF6}"/>
    <cellStyle name="Comma 301 2" xfId="1579" xr:uid="{40A18163-592C-49EE-A349-03ABBF2E2312}"/>
    <cellStyle name="Comma 301 2 2" xfId="3637" xr:uid="{1582EB86-7B90-4107-BC85-E845CACE29AC}"/>
    <cellStyle name="Comma 301 3" xfId="2607" xr:uid="{52266DA3-6147-413F-A354-D4D189FFFB13}"/>
    <cellStyle name="Comma 301 4" xfId="4733" xr:uid="{3D505D24-3E95-426E-B9B9-D3883B54E3E2}"/>
    <cellStyle name="Comma 302" xfId="542" xr:uid="{826EA227-2592-499D-A893-3ABBC6E0F088}"/>
    <cellStyle name="Comma 302 2" xfId="1580" xr:uid="{0D5BF896-C148-4EC3-BE0F-C85FC8B8198D}"/>
    <cellStyle name="Comma 302 2 2" xfId="3638" xr:uid="{779C05B8-CA97-4D8D-BB22-B5E94A391D33}"/>
    <cellStyle name="Comma 302 3" xfId="2608" xr:uid="{6174D5DA-F384-4233-BB93-690BCFE3955B}"/>
    <cellStyle name="Comma 302 4" xfId="4734" xr:uid="{DF81A0EE-4E40-40AC-88DA-678372E006F7}"/>
    <cellStyle name="Comma 303" xfId="543" xr:uid="{53A59BE6-E3BD-49E5-9DF1-66394A66FE44}"/>
    <cellStyle name="Comma 303 2" xfId="1581" xr:uid="{46301706-F786-4EF3-834D-61DB5C8572D5}"/>
    <cellStyle name="Comma 303 2 2" xfId="3639" xr:uid="{8FE9BEFE-4432-40F0-8DFD-B9EFB4DC6F71}"/>
    <cellStyle name="Comma 303 3" xfId="2609" xr:uid="{FBC8BC48-C7BA-4FE0-A0E8-59AFFB4188D4}"/>
    <cellStyle name="Comma 303 4" xfId="4735" xr:uid="{FB755F72-120F-48B6-B4D0-209D9880CA8D}"/>
    <cellStyle name="Comma 304" xfId="544" xr:uid="{05212DB0-B296-48B5-ACFA-48EA587374EB}"/>
    <cellStyle name="Comma 304 2" xfId="1582" xr:uid="{50B853A7-87C3-4015-8D39-EF9A934FB3D9}"/>
    <cellStyle name="Comma 304 2 2" xfId="3640" xr:uid="{4DE9DA55-D1ED-4C9A-817D-ABB07B356D50}"/>
    <cellStyle name="Comma 304 3" xfId="2610" xr:uid="{E544F4C1-2E2C-41C2-B5C0-EBA006F8D6CD}"/>
    <cellStyle name="Comma 304 4" xfId="4736" xr:uid="{186A36A0-7CAB-4775-9110-0ABE40FCEC9C}"/>
    <cellStyle name="Comma 305" xfId="545" xr:uid="{CFFD4BCC-BFAD-4BDD-A3DF-91E14ACE09FD}"/>
    <cellStyle name="Comma 305 2" xfId="1583" xr:uid="{5A432F73-73C1-43CF-A807-94D6B7273C39}"/>
    <cellStyle name="Comma 305 2 2" xfId="3641" xr:uid="{27AA9E6B-3015-4D4F-800F-C7117F36826F}"/>
    <cellStyle name="Comma 305 3" xfId="2611" xr:uid="{7398F58E-14A8-42A5-96CA-CD63E21F99DB}"/>
    <cellStyle name="Comma 305 4" xfId="4737" xr:uid="{B920FAB5-C6D5-4CF6-8287-5C5BBF124A27}"/>
    <cellStyle name="Comma 306" xfId="546" xr:uid="{85DD762A-A770-4B66-8E15-4AA6BB2F4D4E}"/>
    <cellStyle name="Comma 306 2" xfId="1584" xr:uid="{C4F23D52-3E15-4C6E-A510-7EF4FB72F698}"/>
    <cellStyle name="Comma 306 2 2" xfId="3642" xr:uid="{EA33EEEF-46EF-4A3B-9647-4B8D65B8AACC}"/>
    <cellStyle name="Comma 306 3" xfId="2612" xr:uid="{DB7F938F-F10F-4475-A816-D88318B6FF51}"/>
    <cellStyle name="Comma 306 4" xfId="4738" xr:uid="{157D8807-5F06-4F1A-BDC8-4340812655CA}"/>
    <cellStyle name="Comma 307" xfId="547" xr:uid="{639C972F-1290-4F1C-9738-1AD61133EEAC}"/>
    <cellStyle name="Comma 307 2" xfId="1585" xr:uid="{6D2F0A40-E147-4F5F-8BF3-6D018341AFE9}"/>
    <cellStyle name="Comma 307 2 2" xfId="3643" xr:uid="{7A755F66-D631-4277-B991-D499B9CFD7FE}"/>
    <cellStyle name="Comma 307 3" xfId="2613" xr:uid="{CF59B702-85C5-44BB-9AC0-571E0E79D855}"/>
    <cellStyle name="Comma 307 4" xfId="4739" xr:uid="{8C1D1246-CAE8-490E-86CF-C2F1AF3F82AA}"/>
    <cellStyle name="Comma 308" xfId="548" xr:uid="{6F4D1D1A-AC45-46DF-9281-69CE5B43F45C}"/>
    <cellStyle name="Comma 308 2" xfId="1586" xr:uid="{F0CCB5B0-E99D-4773-889A-9AAB07DA1B75}"/>
    <cellStyle name="Comma 308 2 2" xfId="3644" xr:uid="{67EF8345-070B-4859-B567-8D4064A1866D}"/>
    <cellStyle name="Comma 308 3" xfId="2614" xr:uid="{7D404B98-72F1-44CE-89FB-1480CCB11024}"/>
    <cellStyle name="Comma 308 4" xfId="4740" xr:uid="{91CEDA1D-2FAA-40F8-914F-9586AD378287}"/>
    <cellStyle name="Comma 309" xfId="549" xr:uid="{5115EF3F-C997-47C0-8C24-D1A1042DF4B7}"/>
    <cellStyle name="Comma 309 2" xfId="1587" xr:uid="{137B24CA-967A-4B86-974B-9713C172CADB}"/>
    <cellStyle name="Comma 309 2 2" xfId="3645" xr:uid="{C2E37A4A-BCB3-427E-B018-90297D91DF15}"/>
    <cellStyle name="Comma 309 3" xfId="2615" xr:uid="{BE45173C-CE4B-4847-94D3-B64AC61C92D0}"/>
    <cellStyle name="Comma 309 4" xfId="4741" xr:uid="{ECB76FDE-85DE-46D8-8BC5-7146A0C63C7A}"/>
    <cellStyle name="Comma 31" xfId="222" xr:uid="{9782B841-98D0-45D7-819E-9AD857BF4D13}"/>
    <cellStyle name="Comma 31 2" xfId="1308" xr:uid="{3003237E-091D-49F8-8419-D578538AF9C8}"/>
    <cellStyle name="Comma 31 2 2" xfId="3366" xr:uid="{2AE6DD64-CF87-4CC6-A20E-DC28AD6B74A7}"/>
    <cellStyle name="Comma 31 3" xfId="2336" xr:uid="{231DDBDA-095E-46C8-9167-3E1A6A056A1F}"/>
    <cellStyle name="Comma 31 4" xfId="4462" xr:uid="{167CEE08-69F8-4176-99C5-C8BEC53F47CF}"/>
    <cellStyle name="Comma 310" xfId="550" xr:uid="{F61D9593-D40A-42AD-82E3-299F93C3A64D}"/>
    <cellStyle name="Comma 310 2" xfId="1588" xr:uid="{8DE7FA9D-3449-49FE-AEB2-BC8B4813CC60}"/>
    <cellStyle name="Comma 310 2 2" xfId="3646" xr:uid="{3DD8CB5B-730E-4E97-A83C-EDE4477FDAB9}"/>
    <cellStyle name="Comma 310 3" xfId="2616" xr:uid="{804EE8CF-B746-4662-B768-A22C07605336}"/>
    <cellStyle name="Comma 310 4" xfId="4742" xr:uid="{59A351F7-AB77-44DC-9DB5-4CBC7C3D297A}"/>
    <cellStyle name="Comma 311" xfId="551" xr:uid="{25383505-DA98-462C-8E2F-BF6E139C15D9}"/>
    <cellStyle name="Comma 311 2" xfId="1589" xr:uid="{312887C5-E00B-4583-942C-5BF426703CF7}"/>
    <cellStyle name="Comma 311 2 2" xfId="3647" xr:uid="{A389DD75-4ED4-4A0D-BC5D-9C811A47CE10}"/>
    <cellStyle name="Comma 311 3" xfId="2617" xr:uid="{6E789538-3DA3-4C4A-8B97-383102C85A51}"/>
    <cellStyle name="Comma 311 4" xfId="4743" xr:uid="{2460D602-8606-4E8F-9A6D-9F7E74B73A93}"/>
    <cellStyle name="Comma 312" xfId="552" xr:uid="{78B68AE6-201F-4B06-A103-92BD00EF2072}"/>
    <cellStyle name="Comma 312 2" xfId="1590" xr:uid="{A8D32B8A-85B2-43D3-B24F-D12C8547B8B8}"/>
    <cellStyle name="Comma 312 2 2" xfId="3648" xr:uid="{E79B2924-7C66-4DF8-B54A-4E2E40AC33DE}"/>
    <cellStyle name="Comma 312 3" xfId="2618" xr:uid="{EC4EB2B6-EA0C-4228-8FF6-C9986A954F29}"/>
    <cellStyle name="Comma 312 4" xfId="4744" xr:uid="{1AE049F4-E507-49EF-80A1-A5847CA15482}"/>
    <cellStyle name="Comma 313" xfId="553" xr:uid="{52D3A887-1E79-4F05-A222-58456A65E0DF}"/>
    <cellStyle name="Comma 313 2" xfId="1591" xr:uid="{B98A8D5C-6E23-41CE-81E9-7042EE77DF95}"/>
    <cellStyle name="Comma 313 2 2" xfId="3649" xr:uid="{EB7D9DA9-DD3E-4764-8E9E-CAFF3FFD8D77}"/>
    <cellStyle name="Comma 313 3" xfId="2619" xr:uid="{5DE1EB73-848E-4958-BEA6-7CC634E4F50D}"/>
    <cellStyle name="Comma 313 4" xfId="4745" xr:uid="{2D02BEFD-9CBE-47B3-9B7D-1B2D73B21A09}"/>
    <cellStyle name="Comma 314" xfId="554" xr:uid="{B077BC57-5CF2-400D-A6E4-DDC177175FBE}"/>
    <cellStyle name="Comma 314 2" xfId="1592" xr:uid="{523238F3-A300-4D6D-953C-934999CB7261}"/>
    <cellStyle name="Comma 314 2 2" xfId="3650" xr:uid="{D5D1F217-F897-4855-A079-1476D7A018D7}"/>
    <cellStyle name="Comma 314 3" xfId="2620" xr:uid="{93C3D9F8-9E9D-4E9C-B532-C4356D78F9A7}"/>
    <cellStyle name="Comma 314 4" xfId="4746" xr:uid="{02B21954-9E2A-4DF2-9CF6-47E724257FED}"/>
    <cellStyle name="Comma 315" xfId="555" xr:uid="{16EF5A4C-7D31-4ABA-B211-35518AF8BE52}"/>
    <cellStyle name="Comma 315 2" xfId="1593" xr:uid="{EDCA2E40-78FA-4781-A87A-8E8C9BAA172F}"/>
    <cellStyle name="Comma 315 2 2" xfId="3651" xr:uid="{0B264213-7A5C-4200-AD87-E1A3F8368591}"/>
    <cellStyle name="Comma 315 3" xfId="2621" xr:uid="{DA9360DD-C773-4D59-A80F-27559ABF221E}"/>
    <cellStyle name="Comma 315 4" xfId="4747" xr:uid="{A3CAAD4B-E4C9-4ECE-9064-8D2BD2A10416}"/>
    <cellStyle name="Comma 316" xfId="556" xr:uid="{F482F7E1-8D20-4054-B84D-B30B30BF7896}"/>
    <cellStyle name="Comma 316 2" xfId="1594" xr:uid="{C5D1C770-BB2F-4EB1-A4FE-8C40376B117B}"/>
    <cellStyle name="Comma 316 2 2" xfId="3652" xr:uid="{180721CA-1003-44FC-B7B7-16FE820322E4}"/>
    <cellStyle name="Comma 316 3" xfId="2622" xr:uid="{85C3CFD8-A74F-4A11-A6F4-61337B54C1F7}"/>
    <cellStyle name="Comma 316 4" xfId="4748" xr:uid="{0463A7E8-8D16-412E-B4B4-84039E9F88C0}"/>
    <cellStyle name="Comma 317" xfId="557" xr:uid="{086E8DED-7A5F-443B-8CD5-BC541485A773}"/>
    <cellStyle name="Comma 317 2" xfId="1595" xr:uid="{A1D5FACE-A978-4364-AAD4-73C3B274D9B2}"/>
    <cellStyle name="Comma 317 2 2" xfId="3653" xr:uid="{BEFA1A69-7AA0-4308-9DC5-0BE7F8052569}"/>
    <cellStyle name="Comma 317 3" xfId="2623" xr:uid="{7F50CBFA-D37A-44EF-8107-937E508A0F75}"/>
    <cellStyle name="Comma 317 4" xfId="4749" xr:uid="{2860170E-215A-44BA-B9E4-D2029D68944B}"/>
    <cellStyle name="Comma 318" xfId="558" xr:uid="{55C18016-5354-47D8-BB00-C618D945DABD}"/>
    <cellStyle name="Comma 318 2" xfId="1596" xr:uid="{6B78DAF8-D8C0-4920-A6A1-D6D2464F6376}"/>
    <cellStyle name="Comma 318 2 2" xfId="3654" xr:uid="{FF83218B-991E-45EA-AF83-5036ACD18981}"/>
    <cellStyle name="Comma 318 3" xfId="2624" xr:uid="{A17054DF-26AF-484B-AC70-905B6BE218B6}"/>
    <cellStyle name="Comma 318 4" xfId="4750" xr:uid="{15607165-43B1-433F-89DA-27B8A9303DB7}"/>
    <cellStyle name="Comma 319" xfId="559" xr:uid="{0F114F61-AF85-4052-BEB2-97311F761328}"/>
    <cellStyle name="Comma 319 2" xfId="1597" xr:uid="{7BEF3BC0-A66C-4652-8EA6-6A70F038246F}"/>
    <cellStyle name="Comma 319 2 2" xfId="3655" xr:uid="{02D35982-7869-48EC-8C67-1D31F8C2A133}"/>
    <cellStyle name="Comma 319 3" xfId="2625" xr:uid="{39E21517-6BCF-4A31-B9CB-7381B5452B30}"/>
    <cellStyle name="Comma 319 4" xfId="4751" xr:uid="{8E108592-A59C-4D80-938C-88B47AB26AAC}"/>
    <cellStyle name="Comma 32" xfId="223" xr:uid="{4FFFFA4C-4C65-4EF8-BEB6-0925E267950A}"/>
    <cellStyle name="Comma 32 2" xfId="1309" xr:uid="{E7FEA8DD-8887-49B5-9F38-8DD22E601B33}"/>
    <cellStyle name="Comma 32 2 2" xfId="3367" xr:uid="{8BDE07B8-DD3A-4297-B3E7-4F3AB6E95665}"/>
    <cellStyle name="Comma 32 3" xfId="2337" xr:uid="{7E1E2F28-0BF7-4BEA-BEAA-B4CC1D4FE6B0}"/>
    <cellStyle name="Comma 32 4" xfId="4463" xr:uid="{3CCD9160-C3CA-455D-94BE-AE79237D1843}"/>
    <cellStyle name="Comma 320" xfId="560" xr:uid="{CD78ED47-F7C7-4465-BFD4-4432688EEC59}"/>
    <cellStyle name="Comma 320 2" xfId="1598" xr:uid="{412D1552-4B17-4C86-9E38-3CA03E27D11A}"/>
    <cellStyle name="Comma 320 2 2" xfId="3656" xr:uid="{334F574B-5843-4B87-A0F3-751C640DD826}"/>
    <cellStyle name="Comma 320 3" xfId="2626" xr:uid="{8E6A6E66-BB43-4C40-B212-FB9EA3CF589D}"/>
    <cellStyle name="Comma 320 4" xfId="4752" xr:uid="{55CA16FB-6A58-483F-A666-106E9706DFF5}"/>
    <cellStyle name="Comma 321" xfId="561" xr:uid="{514712BE-256D-4A4D-90BF-63EB609CBB18}"/>
    <cellStyle name="Comma 321 2" xfId="1599" xr:uid="{A48AF304-DD30-4123-8687-E76E540619FC}"/>
    <cellStyle name="Comma 321 2 2" xfId="3657" xr:uid="{E62D8628-B684-4F3E-9BF9-D6E8E882D79B}"/>
    <cellStyle name="Comma 321 3" xfId="2627" xr:uid="{C279A73F-3317-4E51-9760-68A0F0AE5E1E}"/>
    <cellStyle name="Comma 321 4" xfId="4753" xr:uid="{7BD49924-39C5-4FF5-8C27-E1A2805820BA}"/>
    <cellStyle name="Comma 322" xfId="562" xr:uid="{EF28A08E-7777-4864-8E3C-345FED4ABCE5}"/>
    <cellStyle name="Comma 322 2" xfId="1600" xr:uid="{D94AEF2B-103B-453B-B625-82B1BFA19A67}"/>
    <cellStyle name="Comma 322 2 2" xfId="3658" xr:uid="{6C808768-4217-43C2-AC56-75B46D7542B4}"/>
    <cellStyle name="Comma 322 3" xfId="2628" xr:uid="{EF3075B3-2551-4C10-A0AD-F2895FC556EF}"/>
    <cellStyle name="Comma 322 4" xfId="4754" xr:uid="{26773D58-0F86-4D46-BF95-7C35E18B8340}"/>
    <cellStyle name="Comma 323" xfId="563" xr:uid="{D2A290FB-DA23-4590-B1AD-391F6D66C65E}"/>
    <cellStyle name="Comma 323 2" xfId="1601" xr:uid="{9B424DC7-7ADB-41AA-B298-377CD698757C}"/>
    <cellStyle name="Comma 323 2 2" xfId="3659" xr:uid="{93D71CCC-1A1D-4EAD-BBD0-2F99BCC8BA13}"/>
    <cellStyle name="Comma 323 3" xfId="2629" xr:uid="{08EFF4B1-BB5D-4F66-BE02-0235809DE46D}"/>
    <cellStyle name="Comma 323 4" xfId="4755" xr:uid="{D983CCD1-9FA8-4644-A7D3-7C707D3ABE29}"/>
    <cellStyle name="Comma 324" xfId="564" xr:uid="{22016A18-D3DF-4ECD-B006-F62953FBB606}"/>
    <cellStyle name="Comma 324 2" xfId="1602" xr:uid="{0F71E046-2702-4B57-9C30-3E22FD44E76F}"/>
    <cellStyle name="Comma 324 2 2" xfId="3660" xr:uid="{8ADE33D7-5BBF-46D4-868C-26EC39E78E52}"/>
    <cellStyle name="Comma 324 3" xfId="2630" xr:uid="{EBE6248E-1FB6-479B-8CEB-00299340815F}"/>
    <cellStyle name="Comma 324 4" xfId="4756" xr:uid="{08EDB386-907F-4216-810A-EC34C9A48E63}"/>
    <cellStyle name="Comma 325" xfId="565" xr:uid="{ED4C76E5-CB14-4AEB-BCA4-8B43A389BC23}"/>
    <cellStyle name="Comma 325 2" xfId="1603" xr:uid="{FED76BA7-9567-4792-B874-85CA83DCC7E0}"/>
    <cellStyle name="Comma 325 2 2" xfId="3661" xr:uid="{14E02AE0-4419-43E5-981E-A15F6C833704}"/>
    <cellStyle name="Comma 325 3" xfId="2631" xr:uid="{9750F8A1-763F-40B7-A2E3-9170F053C3E5}"/>
    <cellStyle name="Comma 325 4" xfId="4757" xr:uid="{097B0998-4D76-403D-97CC-752ACFEBC0B4}"/>
    <cellStyle name="Comma 326" xfId="566" xr:uid="{9D33874B-A837-4829-83C7-D89CCEB917A8}"/>
    <cellStyle name="Comma 326 2" xfId="1604" xr:uid="{747406AA-7F2A-4018-B55F-C089A693DBA7}"/>
    <cellStyle name="Comma 326 2 2" xfId="3662" xr:uid="{667723C2-260D-48C1-8456-514C901EE3E2}"/>
    <cellStyle name="Comma 326 3" xfId="2632" xr:uid="{5AED2503-DF08-482F-8EFC-0376A036A042}"/>
    <cellStyle name="Comma 326 4" xfId="4758" xr:uid="{1B4DCB74-15BA-41BF-B6B4-C063C66D97C2}"/>
    <cellStyle name="Comma 327" xfId="567" xr:uid="{EBFF5CFC-5C8F-4453-BC0D-8865B755C2D1}"/>
    <cellStyle name="Comma 327 2" xfId="1605" xr:uid="{8319F1CE-996E-42D7-A185-017C24813B6F}"/>
    <cellStyle name="Comma 327 2 2" xfId="3663" xr:uid="{9D8A671B-F1CC-46E2-981B-11FDFEE4DB2B}"/>
    <cellStyle name="Comma 327 3" xfId="2633" xr:uid="{E7CF6643-2AC7-43AD-9362-3A376196694A}"/>
    <cellStyle name="Comma 327 4" xfId="4759" xr:uid="{381B4136-C362-4CDD-9B26-952C7649515F}"/>
    <cellStyle name="Comma 328" xfId="568" xr:uid="{7FA3AE04-F052-46AD-A397-DB62D28763A8}"/>
    <cellStyle name="Comma 328 2" xfId="1606" xr:uid="{D2D85560-23C7-476B-ACE9-2C424EB6D81F}"/>
    <cellStyle name="Comma 328 2 2" xfId="3664" xr:uid="{3B13B431-6762-4094-BA0F-07745CD990B0}"/>
    <cellStyle name="Comma 328 3" xfId="2634" xr:uid="{E9203C27-CCBB-466C-B5A7-B6DB1D316A1C}"/>
    <cellStyle name="Comma 328 4" xfId="4760" xr:uid="{197E3233-64EF-4FE0-9B17-4DF3AF44E307}"/>
    <cellStyle name="Comma 329" xfId="569" xr:uid="{32354D58-16A1-4B80-B9BB-8EF2483C521C}"/>
    <cellStyle name="Comma 329 2" xfId="1607" xr:uid="{2411463D-0547-48FD-83F4-CF2E371D9F9F}"/>
    <cellStyle name="Comma 329 2 2" xfId="3665" xr:uid="{51C276F8-3922-454B-AF85-F0D1AFE4482D}"/>
    <cellStyle name="Comma 329 3" xfId="2635" xr:uid="{065455C2-11AC-41E5-AA56-DF6990E34512}"/>
    <cellStyle name="Comma 329 4" xfId="4761" xr:uid="{9DFDF376-4B0C-45C7-8203-AD5BF196607D}"/>
    <cellStyle name="Comma 33" xfId="233" xr:uid="{8C1FE6CD-45DE-4CEF-A8CC-17871FF8EB17}"/>
    <cellStyle name="Comma 33 2" xfId="1311" xr:uid="{F3F0869E-AF0C-4E1D-9D3A-04FEBC4D5F72}"/>
    <cellStyle name="Comma 33 2 2" xfId="3369" xr:uid="{4F7D5D06-0D31-43B3-ACF0-B1BF10070FC4}"/>
    <cellStyle name="Comma 33 3" xfId="2339" xr:uid="{1810487B-40F7-4805-8934-8314246FB0F9}"/>
    <cellStyle name="Comma 33 4" xfId="4465" xr:uid="{8723284A-F670-4864-B34F-06574731B8AE}"/>
    <cellStyle name="Comma 330" xfId="570" xr:uid="{0F0DA1A2-902A-4619-BF3C-352AA85A23D7}"/>
    <cellStyle name="Comma 330 2" xfId="1608" xr:uid="{C4E9A0A1-BC06-4B20-B2CF-3AEA12184AD8}"/>
    <cellStyle name="Comma 330 2 2" xfId="3666" xr:uid="{A555FBD7-18C8-44CF-81E3-BEC11165D2DF}"/>
    <cellStyle name="Comma 330 3" xfId="2636" xr:uid="{CBBA65AF-880A-4885-A036-620269546E0C}"/>
    <cellStyle name="Comma 330 4" xfId="4762" xr:uid="{439AE337-281A-48D9-B0A1-16468A5F28DD}"/>
    <cellStyle name="Comma 331" xfId="571" xr:uid="{AF1F6D92-0733-40E5-A106-A2758009E426}"/>
    <cellStyle name="Comma 331 2" xfId="1609" xr:uid="{0EF1C6D4-2A65-431D-B610-8E5611EFF96B}"/>
    <cellStyle name="Comma 331 2 2" xfId="3667" xr:uid="{F31FCFD4-2E15-40A7-BF64-85DC33004716}"/>
    <cellStyle name="Comma 331 3" xfId="2637" xr:uid="{24850F51-F70A-49FF-BB38-960F078F69E4}"/>
    <cellStyle name="Comma 331 4" xfId="4763" xr:uid="{82C8A114-D4FA-43AB-A2C2-162CA356EF7F}"/>
    <cellStyle name="Comma 332" xfId="572" xr:uid="{821E378C-883F-4F83-BF86-03D2A318C064}"/>
    <cellStyle name="Comma 332 2" xfId="1610" xr:uid="{E2A1D9CD-8858-405F-8F7D-4A85E40D4518}"/>
    <cellStyle name="Comma 332 2 2" xfId="3668" xr:uid="{37261DBC-A39D-49A1-AFEF-9380FD51540A}"/>
    <cellStyle name="Comma 332 3" xfId="2638" xr:uid="{8837F253-548F-412C-9088-10C673A91EB6}"/>
    <cellStyle name="Comma 332 4" xfId="4764" xr:uid="{AFD73E03-7EE3-4099-9D4B-0B17E38E3B35}"/>
    <cellStyle name="Comma 333" xfId="573" xr:uid="{5B4B0538-FAAD-47C8-BEB2-EAC0AA91348E}"/>
    <cellStyle name="Comma 333 2" xfId="1611" xr:uid="{9816AAC8-C167-43E2-8EF1-F0FED1902260}"/>
    <cellStyle name="Comma 333 2 2" xfId="3669" xr:uid="{2DD68D68-C5B1-4D01-B2BA-1B18534D343C}"/>
    <cellStyle name="Comma 333 3" xfId="2639" xr:uid="{300C9BF8-E388-4DFE-8B6E-F0F60DAB9AF7}"/>
    <cellStyle name="Comma 333 4" xfId="4765" xr:uid="{3639EE44-E683-48AC-9C8A-9005A91AC0A0}"/>
    <cellStyle name="Comma 334" xfId="574" xr:uid="{ADD12452-1B64-45BF-8A50-C6F15CB1BFCF}"/>
    <cellStyle name="Comma 334 2" xfId="1612" xr:uid="{976136D4-E508-4020-BB5C-63DA16DC3F60}"/>
    <cellStyle name="Comma 334 2 2" xfId="3670" xr:uid="{E17580B5-24A0-4123-8041-0245828377C0}"/>
    <cellStyle name="Comma 334 3" xfId="2640" xr:uid="{A8DC8FDB-750E-47FD-985E-114CD9F7DE1F}"/>
    <cellStyle name="Comma 334 4" xfId="4766" xr:uid="{1B4556B2-52B4-42E4-A1E5-ED86CD3CCBDE}"/>
    <cellStyle name="Comma 335" xfId="575" xr:uid="{F344C8F1-56D2-4BBF-BDC2-72A844059490}"/>
    <cellStyle name="Comma 335 2" xfId="1613" xr:uid="{B1B42C9F-225F-45D3-9328-7717C59D0170}"/>
    <cellStyle name="Comma 335 2 2" xfId="3671" xr:uid="{A1EF3CBB-E5DB-412F-AF31-96EC9A35BA2F}"/>
    <cellStyle name="Comma 335 3" xfId="2641" xr:uid="{202BBE51-CFC8-48F4-9074-1EB27597475F}"/>
    <cellStyle name="Comma 335 4" xfId="4767" xr:uid="{17874DEA-345A-498D-8131-F992F9A04252}"/>
    <cellStyle name="Comma 336" xfId="576" xr:uid="{1C1E3ED2-53D7-4B0C-AC9A-161280D33CEF}"/>
    <cellStyle name="Comma 336 2" xfId="1614" xr:uid="{AED7F18E-D7AE-47C8-8EF5-93DCCDAFA51F}"/>
    <cellStyle name="Comma 336 2 2" xfId="3672" xr:uid="{3B476A16-63FC-407B-AA11-A6396464FC75}"/>
    <cellStyle name="Comma 336 3" xfId="2642" xr:uid="{42B9DBBB-59F8-499F-BD4A-8DDA667BFD99}"/>
    <cellStyle name="Comma 336 4" xfId="4768" xr:uid="{83207136-517B-404A-A350-6A900D4FFAE4}"/>
    <cellStyle name="Comma 337" xfId="577" xr:uid="{0932BF49-C473-4F9C-B4DB-20F7F3FB6D8B}"/>
    <cellStyle name="Comma 337 2" xfId="1615" xr:uid="{FC1CC808-2644-485A-9FF5-3A79A00D60BF}"/>
    <cellStyle name="Comma 337 2 2" xfId="3673" xr:uid="{90D6DE3F-F90C-460F-8524-5D202CA5A929}"/>
    <cellStyle name="Comma 337 3" xfId="2643" xr:uid="{D4A22070-7F82-46D3-8002-4CBAEF56FC37}"/>
    <cellStyle name="Comma 337 4" xfId="4769" xr:uid="{37AB06D4-B5ED-455A-9222-872C3761D51E}"/>
    <cellStyle name="Comma 338" xfId="578" xr:uid="{FA284FAC-BCE7-4B72-A8B1-132756E9BCA2}"/>
    <cellStyle name="Comma 338 2" xfId="1616" xr:uid="{7B6AA675-8514-4975-B820-782415089525}"/>
    <cellStyle name="Comma 338 2 2" xfId="3674" xr:uid="{6E53D4D9-741D-4C6C-9334-7DCFB6B18164}"/>
    <cellStyle name="Comma 338 3" xfId="2644" xr:uid="{F5BD1458-7D02-44EA-AE79-2779FE442C1D}"/>
    <cellStyle name="Comma 338 4" xfId="4770" xr:uid="{88FA7D8C-4850-4A5D-903E-024E491A9B48}"/>
    <cellStyle name="Comma 339" xfId="579" xr:uid="{7C9A3AB3-975C-4FDC-BA2A-F362FA5432F3}"/>
    <cellStyle name="Comma 339 2" xfId="1617" xr:uid="{DEFBB510-44B9-48B2-BC86-354733EE5742}"/>
    <cellStyle name="Comma 339 2 2" xfId="3675" xr:uid="{B4EF6717-391E-4E65-8459-7D47AF240006}"/>
    <cellStyle name="Comma 339 3" xfId="2645" xr:uid="{92FC0868-AA6D-4662-9A9F-591F548414DC}"/>
    <cellStyle name="Comma 339 4" xfId="4771" xr:uid="{49F97ED3-679E-4CDF-9932-A8480A9C5D9C}"/>
    <cellStyle name="Comma 34" xfId="234" xr:uid="{E0DB05AD-5229-4566-8580-0B95D0BBCF36}"/>
    <cellStyle name="Comma 34 2" xfId="1312" xr:uid="{EFA56AC9-9A7A-48E6-AECC-CAF08487A2C3}"/>
    <cellStyle name="Comma 34 2 2" xfId="3370" xr:uid="{95480CD6-392B-4B0E-93E0-39DF976F4180}"/>
    <cellStyle name="Comma 34 3" xfId="2340" xr:uid="{DB4CC308-1165-4B51-A88D-1D8F2D96ACA6}"/>
    <cellStyle name="Comma 34 4" xfId="4466" xr:uid="{41B2B57F-1422-405B-B942-9EF64246A86C}"/>
    <cellStyle name="Comma 340" xfId="580" xr:uid="{F0ABCCC2-C24E-4260-8CF2-147F6BDAFD45}"/>
    <cellStyle name="Comma 340 2" xfId="1618" xr:uid="{35F8C6CE-DC7A-44A4-9AA3-89C23ED6435C}"/>
    <cellStyle name="Comma 340 2 2" xfId="3676" xr:uid="{4E314603-D53F-4ECD-AA84-43BB27AE7AA3}"/>
    <cellStyle name="Comma 340 3" xfId="2646" xr:uid="{BD823753-3FD2-4ADB-BCC5-993FC5CA7A19}"/>
    <cellStyle name="Comma 340 4" xfId="4772" xr:uid="{9806BC25-0AC7-45CC-9138-97D07B4ACC59}"/>
    <cellStyle name="Comma 341" xfId="581" xr:uid="{C7A506B6-9084-4A82-989F-F1C4428C2748}"/>
    <cellStyle name="Comma 341 2" xfId="1619" xr:uid="{C793CBC8-F8B9-423E-A588-912745379E7C}"/>
    <cellStyle name="Comma 341 2 2" xfId="3677" xr:uid="{FA27FCCD-2900-456A-9617-62CF914A6613}"/>
    <cellStyle name="Comma 341 3" xfId="2647" xr:uid="{55BB4B67-D8D2-4032-8724-494B51C67AE3}"/>
    <cellStyle name="Comma 341 4" xfId="4773" xr:uid="{5B96DD96-57DA-4A6E-A9D8-163B4300F7CD}"/>
    <cellStyle name="Comma 342" xfId="582" xr:uid="{1F8E0A1D-72C9-4FE5-B8CC-87EFBA602CCF}"/>
    <cellStyle name="Comma 342 2" xfId="1620" xr:uid="{8D68652C-5022-4638-9BBA-4523F185E35C}"/>
    <cellStyle name="Comma 342 2 2" xfId="3678" xr:uid="{12A072C5-DF2F-4C56-AD0A-EA60ABC0146C}"/>
    <cellStyle name="Comma 342 3" xfId="2648" xr:uid="{0ED998C2-4179-4467-B982-676538560ADF}"/>
    <cellStyle name="Comma 342 4" xfId="4774" xr:uid="{2B736391-C8DD-4848-A4A5-B156869E48D0}"/>
    <cellStyle name="Comma 343" xfId="583" xr:uid="{6392A27F-192B-4037-96B1-9D7513214D2A}"/>
    <cellStyle name="Comma 343 2" xfId="1621" xr:uid="{2B0152BF-2810-467A-B8F2-9472A53C7E6F}"/>
    <cellStyle name="Comma 343 2 2" xfId="3679" xr:uid="{1A559334-8F20-4A45-B105-BAFE50C21CE0}"/>
    <cellStyle name="Comma 343 3" xfId="2649" xr:uid="{2E74A09B-F7A2-4334-8083-8A383BE8D708}"/>
    <cellStyle name="Comma 343 4" xfId="4775" xr:uid="{AE0E2CA1-D970-4467-B42A-6F25837EBA2D}"/>
    <cellStyle name="Comma 344" xfId="584" xr:uid="{3AC64059-1002-41A4-B5C4-AD5B5F5C57D7}"/>
    <cellStyle name="Comma 344 2" xfId="1622" xr:uid="{2D7F3411-BB74-4767-96E2-B218156F1F04}"/>
    <cellStyle name="Comma 344 2 2" xfId="3680" xr:uid="{DCA91AAA-A6B6-482A-AB27-4ECC7E6AB2AB}"/>
    <cellStyle name="Comma 344 3" xfId="2650" xr:uid="{0C7F2D50-C18F-4D02-8892-2C1EB269FEA2}"/>
    <cellStyle name="Comma 344 4" xfId="4776" xr:uid="{28C878BF-45ED-4154-9644-1774BA67FB85}"/>
    <cellStyle name="Comma 345" xfId="585" xr:uid="{FF955B08-9848-44A4-B7F6-B80000C1237F}"/>
    <cellStyle name="Comma 345 2" xfId="1623" xr:uid="{30B5E721-0F11-4086-87AE-9165F309EF93}"/>
    <cellStyle name="Comma 345 2 2" xfId="3681" xr:uid="{52138225-3484-4EE6-BCF3-23C52B9D21AB}"/>
    <cellStyle name="Comma 345 3" xfId="2651" xr:uid="{BC92C1B7-41A5-4899-9F11-040D547A08EE}"/>
    <cellStyle name="Comma 345 4" xfId="4777" xr:uid="{BB65664C-B11A-4C2F-A8F5-2140AB62E2A0}"/>
    <cellStyle name="Comma 346" xfId="586" xr:uid="{2663EFE5-96A1-41A8-B3D3-59FADD27A909}"/>
    <cellStyle name="Comma 346 2" xfId="1624" xr:uid="{30B66FAE-0DDE-42A3-AB6A-8A86C0A52A05}"/>
    <cellStyle name="Comma 346 2 2" xfId="3682" xr:uid="{16CA1522-B837-44F8-A00A-F20847BF7DDA}"/>
    <cellStyle name="Comma 346 3" xfId="2652" xr:uid="{B821705B-8884-4783-B698-E968956323FB}"/>
    <cellStyle name="Comma 346 4" xfId="4778" xr:uid="{DFCB98F9-70ED-425C-BD60-5C4A5662F16C}"/>
    <cellStyle name="Comma 347" xfId="587" xr:uid="{E01D912F-E257-4470-83CE-F8671A4A35EA}"/>
    <cellStyle name="Comma 347 2" xfId="1625" xr:uid="{FBB30D49-A27F-45FD-BBFF-553725B33AEC}"/>
    <cellStyle name="Comma 347 2 2" xfId="3683" xr:uid="{ED3CA8A7-D466-47DB-95FD-01B3267AE7D5}"/>
    <cellStyle name="Comma 347 3" xfId="2653" xr:uid="{20C38B6C-5B03-4AB9-91BE-EC15D14BE905}"/>
    <cellStyle name="Comma 347 4" xfId="4779" xr:uid="{702D3FEC-5B2D-4D32-972F-305B582AD54E}"/>
    <cellStyle name="Comma 348" xfId="588" xr:uid="{7AE8428E-8E39-4314-BD48-38226688F3E2}"/>
    <cellStyle name="Comma 348 2" xfId="1626" xr:uid="{CE344307-7EC7-41A6-9931-F4AD0191EA3F}"/>
    <cellStyle name="Comma 348 2 2" xfId="3684" xr:uid="{AEC3194E-AA4D-40EF-A6A9-B160580F77AA}"/>
    <cellStyle name="Comma 348 3" xfId="2654" xr:uid="{867A6D7A-59A6-4BD5-BCA5-10C0280BA925}"/>
    <cellStyle name="Comma 348 4" xfId="4780" xr:uid="{E67E7190-9768-4DAB-A475-991248F47BBF}"/>
    <cellStyle name="Comma 349" xfId="589" xr:uid="{570533B8-CAF5-4D10-BFF3-AEEF93FB40D8}"/>
    <cellStyle name="Comma 349 2" xfId="1627" xr:uid="{DA889172-B457-462B-82F0-1671C612F63A}"/>
    <cellStyle name="Comma 349 2 2" xfId="3685" xr:uid="{4153B22B-08FE-4062-9C99-BF3087647EB1}"/>
    <cellStyle name="Comma 349 3" xfId="2655" xr:uid="{7544ECCC-4A78-49A6-A73C-F205E695A51B}"/>
    <cellStyle name="Comma 349 4" xfId="4781" xr:uid="{A3E0ADD3-C7FD-4E7A-B70B-0285804123EF}"/>
    <cellStyle name="Comma 35" xfId="235" xr:uid="{BCE78FD2-E521-4970-81F9-74E7B0CB4502}"/>
    <cellStyle name="Comma 35 2" xfId="1313" xr:uid="{3138FA98-611E-4AAC-9455-5F914EC1D242}"/>
    <cellStyle name="Comma 35 2 2" xfId="3371" xr:uid="{69FB90ED-1D57-4756-A156-C7AA59274C42}"/>
    <cellStyle name="Comma 35 3" xfId="2341" xr:uid="{717300EC-9CDF-4586-9BD5-486A2ACA3F65}"/>
    <cellStyle name="Comma 35 4" xfId="4467" xr:uid="{19ACC474-AEFC-47AC-A4D1-E21DA0C16783}"/>
    <cellStyle name="Comma 350" xfId="590" xr:uid="{81B0B509-C593-4031-A857-E25A7427BAD1}"/>
    <cellStyle name="Comma 350 2" xfId="1628" xr:uid="{F4CFB8A7-340B-4C28-92CB-887EECF77EA1}"/>
    <cellStyle name="Comma 350 2 2" xfId="3686" xr:uid="{72DB3540-1905-4E73-8DD9-88D98D8CBE0E}"/>
    <cellStyle name="Comma 350 3" xfId="2656" xr:uid="{AB14CB7B-21BE-4FFD-A251-750B7894A65B}"/>
    <cellStyle name="Comma 350 4" xfId="4782" xr:uid="{A94E4E04-2815-4326-A92E-4D1CD7AFA501}"/>
    <cellStyle name="Comma 351" xfId="591" xr:uid="{93F9F3ED-D214-4495-9B5D-D139D0EA0E0A}"/>
    <cellStyle name="Comma 351 2" xfId="1629" xr:uid="{F18004C2-61B4-4461-BF7E-F2402197A4FD}"/>
    <cellStyle name="Comma 351 2 2" xfId="3687" xr:uid="{26ABF482-9C43-42AD-8BFA-EB5CDB701B06}"/>
    <cellStyle name="Comma 351 3" xfId="2657" xr:uid="{D58C7C37-9DDF-41F2-BFF1-AD253FD0EDBF}"/>
    <cellStyle name="Comma 351 4" xfId="4783" xr:uid="{D6402734-B012-44C9-843E-439B23FD32B7}"/>
    <cellStyle name="Comma 352" xfId="592" xr:uid="{BA112287-8A96-4B3D-953A-BE13A540BCC0}"/>
    <cellStyle name="Comma 352 2" xfId="1630" xr:uid="{21D62F27-7A09-4FBF-BD13-018FFD2DCA67}"/>
    <cellStyle name="Comma 352 2 2" xfId="3688" xr:uid="{C316E6E1-8B29-4E93-9FCD-E4264C421C08}"/>
    <cellStyle name="Comma 352 3" xfId="2658" xr:uid="{7E6AE409-6348-4E98-82B9-D5D77C858A3D}"/>
    <cellStyle name="Comma 352 4" xfId="4784" xr:uid="{167433F8-054C-4D42-A876-3CD1776AB62F}"/>
    <cellStyle name="Comma 353" xfId="593" xr:uid="{8F957E61-0173-45B6-845A-756D5F9F1D66}"/>
    <cellStyle name="Comma 353 2" xfId="1631" xr:uid="{59D87E39-1D38-4A5D-848E-4A0545622B99}"/>
    <cellStyle name="Comma 353 2 2" xfId="3689" xr:uid="{6C2AE15A-97EC-4ABF-A8CE-53BBD3DE466C}"/>
    <cellStyle name="Comma 353 3" xfId="2659" xr:uid="{7A783AAD-F346-49C2-9AF5-75457530D208}"/>
    <cellStyle name="Comma 353 4" xfId="4785" xr:uid="{528FBEBF-A780-4533-A680-2E7296BE93E3}"/>
    <cellStyle name="Comma 354" xfId="594" xr:uid="{8EE18285-579E-47DF-A1FC-E0AAFF54E473}"/>
    <cellStyle name="Comma 354 2" xfId="1632" xr:uid="{738827DF-E711-46BA-B9ED-E8449AC7F646}"/>
    <cellStyle name="Comma 354 2 2" xfId="3690" xr:uid="{4C0C68D8-0C1C-4242-9B8D-24C2D23E593A}"/>
    <cellStyle name="Comma 354 3" xfId="2660" xr:uid="{F7415CD3-138C-42B8-A3B6-67F48C1D9E03}"/>
    <cellStyle name="Comma 354 4" xfId="4786" xr:uid="{1D34E2B6-EA76-42D0-A58E-AF1CC55FBD68}"/>
    <cellStyle name="Comma 355" xfId="595" xr:uid="{3448C2DF-7298-4C9D-A2E5-0FD223AB4BEE}"/>
    <cellStyle name="Comma 355 2" xfId="1633" xr:uid="{1229EC64-BBE1-433F-B4CD-43B76AC79D30}"/>
    <cellStyle name="Comma 355 2 2" xfId="3691" xr:uid="{4C38D02C-5625-4B19-9B56-77DAF4B5257F}"/>
    <cellStyle name="Comma 355 3" xfId="2661" xr:uid="{41FD35C7-C008-4F0D-A4FC-39623515ED97}"/>
    <cellStyle name="Comma 355 4" xfId="4787" xr:uid="{DD2F7D50-69F0-4488-A190-E30720A7AEE7}"/>
    <cellStyle name="Comma 356" xfId="596" xr:uid="{4AB0397A-D244-430A-BBE0-7C845BB1E5A3}"/>
    <cellStyle name="Comma 356 2" xfId="1634" xr:uid="{9B8D3F4C-F76F-4025-9B0D-D0FBE2172D05}"/>
    <cellStyle name="Comma 356 2 2" xfId="3692" xr:uid="{5340462E-0010-4CF1-B304-8F9623228945}"/>
    <cellStyle name="Comma 356 3" xfId="2662" xr:uid="{222C72EC-8881-49AA-B7ED-433ABC8A2577}"/>
    <cellStyle name="Comma 356 4" xfId="4788" xr:uid="{3AE5E713-2B94-4B0E-84E4-A22193E68665}"/>
    <cellStyle name="Comma 357" xfId="597" xr:uid="{1F2635DE-B8E3-4814-B9B0-71A5F13E7651}"/>
    <cellStyle name="Comma 357 2" xfId="1635" xr:uid="{6A968939-35DC-4DF2-B4A6-B6F5ACB3DF1C}"/>
    <cellStyle name="Comma 357 2 2" xfId="3693" xr:uid="{AA0A5287-A9B8-4200-8B84-F015A3539D36}"/>
    <cellStyle name="Comma 357 3" xfId="2663" xr:uid="{89A6B10B-24F2-47B1-9AEB-B28C9F39A590}"/>
    <cellStyle name="Comma 357 4" xfId="4789" xr:uid="{B9A40EB3-B8A6-4A90-9A52-DA2157763BFE}"/>
    <cellStyle name="Comma 358" xfId="598" xr:uid="{B29B4219-03CF-447D-B6C1-D35A5024AC62}"/>
    <cellStyle name="Comma 358 2" xfId="1636" xr:uid="{AFDA426C-F935-46A9-81DF-F2CDECDCA905}"/>
    <cellStyle name="Comma 358 2 2" xfId="3694" xr:uid="{E30B9D70-7E8C-4EDF-AD2E-60FBF605E3DC}"/>
    <cellStyle name="Comma 358 3" xfId="2664" xr:uid="{9EA0CF51-02D1-4C4E-9372-C5454D105F9B}"/>
    <cellStyle name="Comma 358 4" xfId="4790" xr:uid="{4DF95B46-B55D-47AF-8509-B3D2842F79F0}"/>
    <cellStyle name="Comma 359" xfId="599" xr:uid="{74428077-E014-43FC-946C-797082501E81}"/>
    <cellStyle name="Comma 359 2" xfId="1637" xr:uid="{89A3F44B-C03B-402A-9628-DD6DEA10093A}"/>
    <cellStyle name="Comma 359 2 2" xfId="3695" xr:uid="{AB46972F-CA95-4293-9163-B09D5B052A16}"/>
    <cellStyle name="Comma 359 3" xfId="2665" xr:uid="{46FDEEA7-456C-45E1-A0C6-17A93D00B447}"/>
    <cellStyle name="Comma 359 4" xfId="4791" xr:uid="{FDC215D6-196F-48FA-9260-668ADD7F06F2}"/>
    <cellStyle name="Comma 36" xfId="236" xr:uid="{8E96EB02-1761-467A-9449-2CA0B4DAC88F}"/>
    <cellStyle name="Comma 36 2" xfId="1314" xr:uid="{A2AA1609-1684-453D-B503-DFA83D40D5C0}"/>
    <cellStyle name="Comma 36 2 2" xfId="3372" xr:uid="{2417D4BE-EEDC-4B28-B4F6-B28D16F3FB20}"/>
    <cellStyle name="Comma 36 3" xfId="2342" xr:uid="{386F56D1-FAD9-4E7E-A0EB-0750CDD82B56}"/>
    <cellStyle name="Comma 36 4" xfId="4468" xr:uid="{0FA2C9F6-D223-4060-842C-5DEA1D1FB6DC}"/>
    <cellStyle name="Comma 360" xfId="600" xr:uid="{B571B61D-5A18-46D3-AE4C-03C0D9CF0E54}"/>
    <cellStyle name="Comma 360 2" xfId="1638" xr:uid="{80BD75B0-CE1C-4D6F-8884-AC185757E083}"/>
    <cellStyle name="Comma 360 2 2" xfId="3696" xr:uid="{25E125E2-37DF-4BEF-A9A7-8B0BFA9BCFA0}"/>
    <cellStyle name="Comma 360 3" xfId="2666" xr:uid="{FB47C58C-A120-4F31-9CF3-C1794F515568}"/>
    <cellStyle name="Comma 360 4" xfId="4792" xr:uid="{905830D6-8983-476E-87B2-BB2DD371A431}"/>
    <cellStyle name="Comma 361" xfId="601" xr:uid="{6D56EAD2-230D-4C90-BD04-B4E414A44328}"/>
    <cellStyle name="Comma 361 2" xfId="1639" xr:uid="{7A884CF3-BE22-49A6-8398-F80313871D23}"/>
    <cellStyle name="Comma 361 2 2" xfId="3697" xr:uid="{C431796C-2B25-4674-93E8-FEA94F8EEA7D}"/>
    <cellStyle name="Comma 361 3" xfId="2667" xr:uid="{B85FAF2B-E631-47EC-92EF-BCDE1D3D3BB1}"/>
    <cellStyle name="Comma 361 4" xfId="4793" xr:uid="{5EF3347D-7B72-46B2-8EFE-A7EF3CFE48A9}"/>
    <cellStyle name="Comma 362" xfId="602" xr:uid="{4E872CB8-A7AD-48B0-82C9-64394CBDCB3A}"/>
    <cellStyle name="Comma 362 2" xfId="1640" xr:uid="{90269AFD-72DA-4670-969D-C82D2A394F10}"/>
    <cellStyle name="Comma 362 2 2" xfId="3698" xr:uid="{7DE5FC42-3C14-420A-ABCE-79A874F1C519}"/>
    <cellStyle name="Comma 362 3" xfId="2668" xr:uid="{05930442-D2F1-4D65-AD72-BDC1336E1D2F}"/>
    <cellStyle name="Comma 362 4" xfId="4794" xr:uid="{9D359C95-8E18-4520-99CB-CFE21D022765}"/>
    <cellStyle name="Comma 363" xfId="603" xr:uid="{B543CB1F-5A1D-41C1-9709-F7B2DF0C8CCD}"/>
    <cellStyle name="Comma 363 2" xfId="1641" xr:uid="{A15F0D28-9060-4F7B-AB73-6836A74B9D3B}"/>
    <cellStyle name="Comma 363 2 2" xfId="3699" xr:uid="{E92BA702-D2FA-4F71-B775-947E53EA3DD6}"/>
    <cellStyle name="Comma 363 3" xfId="2669" xr:uid="{DF135435-C5EC-443E-8EFA-B4A6EA29BCBA}"/>
    <cellStyle name="Comma 363 4" xfId="4795" xr:uid="{07F7CF20-1611-468B-8878-0E665157069D}"/>
    <cellStyle name="Comma 364" xfId="604" xr:uid="{1D19C137-6DEC-41A3-B7DA-EFF8A76F867F}"/>
    <cellStyle name="Comma 364 2" xfId="1642" xr:uid="{6A0209C9-07B6-494B-B65A-1BC36367369F}"/>
    <cellStyle name="Comma 364 2 2" xfId="3700" xr:uid="{50598A85-AC34-4F30-8777-46933F0172FC}"/>
    <cellStyle name="Comma 364 3" xfId="2670" xr:uid="{FFF77209-734B-4A35-894D-C85DFD143BD8}"/>
    <cellStyle name="Comma 364 4" xfId="4796" xr:uid="{B447BCD2-6F1A-4847-A8A9-B73868D45795}"/>
    <cellStyle name="Comma 365" xfId="605" xr:uid="{8928ACD6-F1E6-4518-8F77-36168E27269A}"/>
    <cellStyle name="Comma 365 2" xfId="1643" xr:uid="{57EDD86F-6BD8-49C5-9A62-4002E3930A94}"/>
    <cellStyle name="Comma 365 2 2" xfId="3701" xr:uid="{578306FC-0458-4537-B025-488F2301BD7B}"/>
    <cellStyle name="Comma 365 3" xfId="2671" xr:uid="{7FCA8F52-A825-48BA-813E-776F8961DFCD}"/>
    <cellStyle name="Comma 365 4" xfId="4797" xr:uid="{242F5CA8-856F-4FB9-B4E1-FADDDEF1C3E9}"/>
    <cellStyle name="Comma 366" xfId="606" xr:uid="{BC783109-61F3-4CA0-A508-A180F0F9570C}"/>
    <cellStyle name="Comma 366 2" xfId="1644" xr:uid="{28826CC9-2FBF-411F-B086-47EDE8928FC0}"/>
    <cellStyle name="Comma 366 2 2" xfId="3702" xr:uid="{238757EC-BBA1-451E-839E-BCC219D06B34}"/>
    <cellStyle name="Comma 366 3" xfId="2672" xr:uid="{AE242DF3-1EAE-42C0-8C3B-9BBD86830473}"/>
    <cellStyle name="Comma 366 4" xfId="4798" xr:uid="{FEFE68F9-D4B7-4C17-8F63-0C6C119AEF55}"/>
    <cellStyle name="Comma 367" xfId="607" xr:uid="{EE660C77-20EC-415D-AA6D-001F5B7C1141}"/>
    <cellStyle name="Comma 367 2" xfId="1645" xr:uid="{D044C51B-EC08-4DB0-852E-785E3461D2CF}"/>
    <cellStyle name="Comma 367 2 2" xfId="3703" xr:uid="{AFDC7C6E-1192-4DDB-B938-E05F51C101D3}"/>
    <cellStyle name="Comma 367 3" xfId="2673" xr:uid="{ABACFB26-6E16-4FBF-A228-18FFD0ED7E31}"/>
    <cellStyle name="Comma 367 4" xfId="4799" xr:uid="{95CFF020-1674-4213-A3E1-C1ADB2F5FFEF}"/>
    <cellStyle name="Comma 368" xfId="608" xr:uid="{A3493006-07A5-48FE-BAA1-18420FE47F83}"/>
    <cellStyle name="Comma 368 2" xfId="1646" xr:uid="{36B2E030-52E6-4366-96A7-0783AB050F30}"/>
    <cellStyle name="Comma 368 2 2" xfId="3704" xr:uid="{6A510579-FD2D-43E6-8882-E2FCF492CC62}"/>
    <cellStyle name="Comma 368 3" xfId="2674" xr:uid="{F4C12A37-9EEE-4AD0-B2D7-F28CBE86C148}"/>
    <cellStyle name="Comma 368 4" xfId="4800" xr:uid="{8BEBFE41-B5CC-458C-9FA3-D38D8E106B5E}"/>
    <cellStyle name="Comma 369" xfId="609" xr:uid="{C1B04262-BF67-4548-AFF2-251AB08D3F86}"/>
    <cellStyle name="Comma 369 2" xfId="1647" xr:uid="{34BEAFEB-2860-4B99-8468-01636F690C7D}"/>
    <cellStyle name="Comma 369 2 2" xfId="3705" xr:uid="{93CE444E-2726-4EF0-83AA-C2DB47D34D36}"/>
    <cellStyle name="Comma 369 3" xfId="2675" xr:uid="{AFEB1B93-BCB6-4BCF-A0E3-3915B2DA12B9}"/>
    <cellStyle name="Comma 369 4" xfId="4801" xr:uid="{B0F5CF71-48D4-463D-9C4D-395AA6CE9961}"/>
    <cellStyle name="Comma 37" xfId="237" xr:uid="{132723E7-7AAD-4008-B65D-11AC94CE2053}"/>
    <cellStyle name="Comma 37 2" xfId="1315" xr:uid="{25F94922-EF69-464F-820E-CCC0694306BD}"/>
    <cellStyle name="Comma 37 2 2" xfId="3373" xr:uid="{8EB8EEF9-9A19-4F9D-BA4A-236D7B8AFE4A}"/>
    <cellStyle name="Comma 37 3" xfId="2343" xr:uid="{927513A7-775D-4392-8293-505822F400FF}"/>
    <cellStyle name="Comma 37 4" xfId="4469" xr:uid="{3063954C-DB06-49E3-88E3-F893F702BA80}"/>
    <cellStyle name="Comma 370" xfId="610" xr:uid="{5552D5FF-1EDC-4A31-A0C4-6DE46C489069}"/>
    <cellStyle name="Comma 370 2" xfId="1648" xr:uid="{92943512-4082-4A7A-8E57-85D7449E63BA}"/>
    <cellStyle name="Comma 370 2 2" xfId="3706" xr:uid="{843A6136-C3B2-4632-B517-5738F3464B94}"/>
    <cellStyle name="Comma 370 3" xfId="2676" xr:uid="{3DE6AD8D-446C-45AB-B719-2220D74E2388}"/>
    <cellStyle name="Comma 370 4" xfId="4802" xr:uid="{6FA6BF01-705A-4D13-9054-1FA774836F00}"/>
    <cellStyle name="Comma 371" xfId="611" xr:uid="{B4CBD81C-6743-4312-8B2A-0FE9106B6574}"/>
    <cellStyle name="Comma 371 2" xfId="1649" xr:uid="{4E5386AB-E09F-4BB9-A454-35328F1630EB}"/>
    <cellStyle name="Comma 371 2 2" xfId="3707" xr:uid="{B52456FB-5EAB-461E-90A3-E599B7930642}"/>
    <cellStyle name="Comma 371 3" xfId="2677" xr:uid="{1A61EF9B-F374-42D4-8ADE-13678BE43477}"/>
    <cellStyle name="Comma 371 4" xfId="4803" xr:uid="{92AF3483-7BA5-4D02-A40F-E0FC55F74B65}"/>
    <cellStyle name="Comma 372" xfId="612" xr:uid="{678447B6-502B-4D4D-BB62-87C7CEE63219}"/>
    <cellStyle name="Comma 372 2" xfId="1650" xr:uid="{F06AE1A3-58E8-4831-A2B4-1D86F4379B08}"/>
    <cellStyle name="Comma 372 2 2" xfId="3708" xr:uid="{D57185BC-2D13-410A-BD66-19195FD13741}"/>
    <cellStyle name="Comma 372 3" xfId="2678" xr:uid="{965AF5AD-9B23-4951-A202-AB4FF1FDF2AC}"/>
    <cellStyle name="Comma 372 4" xfId="4804" xr:uid="{DB54F0AA-9EB4-4788-9DDC-80FFD05B3EC0}"/>
    <cellStyle name="Comma 373" xfId="613" xr:uid="{5E41202D-E206-41F9-A7A4-C0B0D655F45F}"/>
    <cellStyle name="Comma 373 2" xfId="1651" xr:uid="{3DB82277-F4FC-48B0-9AD7-2B1A7838C3A2}"/>
    <cellStyle name="Comma 373 2 2" xfId="3709" xr:uid="{A4DB7334-2020-4503-A6B6-491F888E18F5}"/>
    <cellStyle name="Comma 373 3" xfId="2679" xr:uid="{0A70ACAC-83C4-4A2A-BC90-77E8A0C6E2F0}"/>
    <cellStyle name="Comma 373 4" xfId="4805" xr:uid="{7423EA3B-C1BF-436B-93C1-AAEF934954ED}"/>
    <cellStyle name="Comma 374" xfId="614" xr:uid="{0F8DF34A-B0AB-4EDD-84A6-C7BAA53DB092}"/>
    <cellStyle name="Comma 374 2" xfId="1652" xr:uid="{98A5453E-3449-40BC-870B-67437D0CBD52}"/>
    <cellStyle name="Comma 374 2 2" xfId="3710" xr:uid="{0DBEFBF8-2D72-43C6-AA3D-6094DF4ED0CB}"/>
    <cellStyle name="Comma 374 3" xfId="2680" xr:uid="{7D6C2A97-ED2B-4171-B84E-3267D763DDFF}"/>
    <cellStyle name="Comma 374 4" xfId="4806" xr:uid="{1EA7D533-EDD2-4E30-B530-04A1878FFC63}"/>
    <cellStyle name="Comma 375" xfId="615" xr:uid="{9B878249-A69E-4383-8D09-D045C7CACBFF}"/>
    <cellStyle name="Comma 375 2" xfId="1653" xr:uid="{E44EEB16-C4DE-4B42-81C0-20FF2C2D553F}"/>
    <cellStyle name="Comma 375 2 2" xfId="3711" xr:uid="{D18B72D5-3109-48C2-9D45-12C5C89C18AB}"/>
    <cellStyle name="Comma 375 3" xfId="2681" xr:uid="{8471C37E-1385-4789-A573-EEE574F102E1}"/>
    <cellStyle name="Comma 375 4" xfId="4807" xr:uid="{393773CE-5679-4290-B7D1-B8DA871FEE86}"/>
    <cellStyle name="Comma 376" xfId="616" xr:uid="{83F021EB-95CC-4010-8461-33B6144C95C0}"/>
    <cellStyle name="Comma 376 2" xfId="1654" xr:uid="{F1912E56-EF2E-4EB0-A66E-C55EB1F68A27}"/>
    <cellStyle name="Comma 376 2 2" xfId="3712" xr:uid="{E81E7143-CB49-4457-996A-6076809FB5AC}"/>
    <cellStyle name="Comma 376 3" xfId="2682" xr:uid="{088243B5-6B51-40C2-8516-42A974D9B535}"/>
    <cellStyle name="Comma 376 4" xfId="4808" xr:uid="{C24F5E3A-5908-4EE9-8B38-7CC29360F345}"/>
    <cellStyle name="Comma 377" xfId="617" xr:uid="{D33BE625-E0B3-4C73-9FE3-187C6CBD5BCD}"/>
    <cellStyle name="Comma 377 2" xfId="1655" xr:uid="{887227CC-DC38-4428-970B-2410F5C3D784}"/>
    <cellStyle name="Comma 377 2 2" xfId="3713" xr:uid="{2936C88F-55DC-4183-83C4-B147AE605481}"/>
    <cellStyle name="Comma 377 3" xfId="2683" xr:uid="{3F2952A0-A027-402E-BF37-38C622CEE679}"/>
    <cellStyle name="Comma 377 4" xfId="4809" xr:uid="{B0CD5D61-7A13-451C-95D8-2FDAC108BD65}"/>
    <cellStyle name="Comma 378" xfId="618" xr:uid="{0EA4797F-5162-4239-BB1D-E6FEB01E44EB}"/>
    <cellStyle name="Comma 378 2" xfId="1656" xr:uid="{6C105F7A-2061-4D0E-B2C0-EAA240F54E1D}"/>
    <cellStyle name="Comma 378 2 2" xfId="3714" xr:uid="{2AE34673-3D6F-4A99-AC1E-B0585E20DD69}"/>
    <cellStyle name="Comma 378 3" xfId="2684" xr:uid="{FC995D27-842F-48F4-87A0-67BE5F59B62D}"/>
    <cellStyle name="Comma 378 4" xfId="4810" xr:uid="{2B615B38-92C7-42E6-BAD4-956C478DDC0A}"/>
    <cellStyle name="Comma 379" xfId="619" xr:uid="{749540D7-B926-4A44-B267-5B058737CB2E}"/>
    <cellStyle name="Comma 379 2" xfId="1657" xr:uid="{13DCE211-0644-4013-92D0-FAC75D740D08}"/>
    <cellStyle name="Comma 379 2 2" xfId="3715" xr:uid="{A07986DC-993F-47B0-AF0C-B9B3E8F93B50}"/>
    <cellStyle name="Comma 379 3" xfId="2685" xr:uid="{7EA5F7D5-94E7-45C2-917D-6A13BFD8E8B0}"/>
    <cellStyle name="Comma 379 4" xfId="4811" xr:uid="{4F1DE037-F63A-4169-8B94-DE0565D5514E}"/>
    <cellStyle name="Comma 38" xfId="238" xr:uid="{1688CF34-8822-49FB-8DA5-779AE265D534}"/>
    <cellStyle name="Comma 38 2" xfId="1316" xr:uid="{48E6510B-A050-477A-B54C-B3B18B32C4D4}"/>
    <cellStyle name="Comma 38 2 2" xfId="3374" xr:uid="{05906C36-2707-49FD-AF56-570644EE4B30}"/>
    <cellStyle name="Comma 38 3" xfId="2344" xr:uid="{5FE2975E-D943-4108-AE1B-B29DB2714041}"/>
    <cellStyle name="Comma 38 4" xfId="4470" xr:uid="{32ED07A6-92BF-4292-AA5F-ADA0CDD1C591}"/>
    <cellStyle name="Comma 380" xfId="620" xr:uid="{9473D33D-AAAD-46C5-822B-6031E5EE2375}"/>
    <cellStyle name="Comma 380 2" xfId="1658" xr:uid="{35359C9D-274C-4587-8A81-BC96F0E9FF95}"/>
    <cellStyle name="Comma 380 2 2" xfId="3716" xr:uid="{425D5081-7B03-4CCA-99DF-110406F54C21}"/>
    <cellStyle name="Comma 380 3" xfId="2686" xr:uid="{E14E1D74-E8DB-4FD6-8849-811CC4808105}"/>
    <cellStyle name="Comma 380 4" xfId="4812" xr:uid="{671592A5-4676-4CF1-B900-15FA28FDC752}"/>
    <cellStyle name="Comma 381" xfId="621" xr:uid="{05EF2F96-5AEE-4EF0-B53A-6378BE5EBDE2}"/>
    <cellStyle name="Comma 381 2" xfId="1659" xr:uid="{9D20B778-90A2-4BA5-A4A9-019F7DC359F2}"/>
    <cellStyle name="Comma 381 2 2" xfId="3717" xr:uid="{CD3971B0-2472-48FC-A05B-4BC6A77B6152}"/>
    <cellStyle name="Comma 381 3" xfId="2687" xr:uid="{3BB864CF-B8E8-455D-9C8C-30B664370FF0}"/>
    <cellStyle name="Comma 381 4" xfId="4813" xr:uid="{ED663941-F1D5-4BF3-BDB2-1D3DD078610F}"/>
    <cellStyle name="Comma 382" xfId="622" xr:uid="{9E418871-5427-40D8-ADE7-AF9A60A3A9CB}"/>
    <cellStyle name="Comma 382 2" xfId="1660" xr:uid="{C21F5E75-EEE2-4FC4-9CE4-FF4B82B65284}"/>
    <cellStyle name="Comma 382 2 2" xfId="3718" xr:uid="{88600FD0-E19C-41BB-B06B-459175F695C6}"/>
    <cellStyle name="Comma 382 3" xfId="2688" xr:uid="{959E2441-5D9B-44F2-BACF-A7EAF2266832}"/>
    <cellStyle name="Comma 382 4" xfId="4814" xr:uid="{83943059-63D9-482C-BE0F-7B444FCEBC30}"/>
    <cellStyle name="Comma 383" xfId="623" xr:uid="{23F5CFF9-B0D9-427A-A62C-EFB7FA96615E}"/>
    <cellStyle name="Comma 383 2" xfId="1661" xr:uid="{D39D2156-8474-4AFA-9C14-57495EA7DE19}"/>
    <cellStyle name="Comma 383 2 2" xfId="3719" xr:uid="{306EBE80-94A0-4E8C-8255-C8D6A82D1AC1}"/>
    <cellStyle name="Comma 383 3" xfId="2689" xr:uid="{F48A3770-F25E-497B-BFE7-2D6F20EB8B43}"/>
    <cellStyle name="Comma 383 4" xfId="4815" xr:uid="{9D409BE9-76C1-4477-ACBC-C897256986EC}"/>
    <cellStyle name="Comma 384" xfId="624" xr:uid="{A3B2D4BD-994F-4209-9CE7-A140C8C49E59}"/>
    <cellStyle name="Comma 384 2" xfId="1662" xr:uid="{DCBBF238-6A59-481F-AEBC-BDE15F511E32}"/>
    <cellStyle name="Comma 384 2 2" xfId="3720" xr:uid="{F287AD08-131F-4723-842E-CCF0A1EF25AB}"/>
    <cellStyle name="Comma 384 3" xfId="2690" xr:uid="{10C06E2B-09D2-4C92-8CCE-DF49A0CE87FD}"/>
    <cellStyle name="Comma 384 4" xfId="4816" xr:uid="{44F0410A-DE6B-4AC0-8A1D-9A9DA50E9A47}"/>
    <cellStyle name="Comma 385" xfId="625" xr:uid="{2EC8FC5E-5185-41D5-BC75-9F2340987B87}"/>
    <cellStyle name="Comma 385 2" xfId="1663" xr:uid="{1F7C0766-4EB1-4C47-9A08-EACD072D28D8}"/>
    <cellStyle name="Comma 385 2 2" xfId="3721" xr:uid="{A3FECF51-859A-406B-9BD0-63CA06A13705}"/>
    <cellStyle name="Comma 385 3" xfId="2691" xr:uid="{678EAB5E-E045-48A5-90A2-D80AEB386AE4}"/>
    <cellStyle name="Comma 385 4" xfId="4817" xr:uid="{11486CD4-0965-4A6B-8BD8-447C468E1919}"/>
    <cellStyle name="Comma 386" xfId="626" xr:uid="{7FB9B3EA-EC94-4AC3-972A-FFD2389D2AF8}"/>
    <cellStyle name="Comma 386 2" xfId="1664" xr:uid="{F2E0FDBA-1E87-40F1-A628-1CEE2D1B7E81}"/>
    <cellStyle name="Comma 386 2 2" xfId="3722" xr:uid="{714486C9-60F8-4BB7-AAD5-3FC1E4C20B69}"/>
    <cellStyle name="Comma 386 3" xfId="2692" xr:uid="{773CC24D-248C-40A9-AB8B-8F7BE149C40D}"/>
    <cellStyle name="Comma 386 4" xfId="4818" xr:uid="{C32A3D1B-9E41-442F-BCD5-F2853A849FCB}"/>
    <cellStyle name="Comma 387" xfId="627" xr:uid="{C7C19A83-6474-4D9C-A471-B73601ECDD53}"/>
    <cellStyle name="Comma 387 2" xfId="1665" xr:uid="{D8A784AE-9378-407F-B70E-AE03B7755C60}"/>
    <cellStyle name="Comma 387 2 2" xfId="3723" xr:uid="{9289AC26-65E7-45C3-8603-134D23EDF856}"/>
    <cellStyle name="Comma 387 3" xfId="2693" xr:uid="{2621DD5C-8218-4943-AF16-B25799B2E7F3}"/>
    <cellStyle name="Comma 387 4" xfId="4819" xr:uid="{1E2A35DE-D3B4-40F2-95E9-2C58CCED2CFD}"/>
    <cellStyle name="Comma 388" xfId="628" xr:uid="{751FA1E4-B918-48CF-8027-F3A704F06B29}"/>
    <cellStyle name="Comma 388 2" xfId="1666" xr:uid="{90CEDB1A-EB8E-4600-9CD6-732180CED58F}"/>
    <cellStyle name="Comma 388 2 2" xfId="3724" xr:uid="{0D3AA672-DC8C-4D94-A4B0-5866BB64F43F}"/>
    <cellStyle name="Comma 388 3" xfId="2694" xr:uid="{F3102EC6-3F1D-4B1A-AEF7-8730D95B0384}"/>
    <cellStyle name="Comma 388 4" xfId="4820" xr:uid="{386B251B-2B61-44C5-839B-5C9A3B73EA21}"/>
    <cellStyle name="Comma 389" xfId="629" xr:uid="{18C2A866-6EBE-47DC-8D0C-F8CFBB7F6D08}"/>
    <cellStyle name="Comma 389 2" xfId="1667" xr:uid="{95144F5F-43B1-4DBF-B261-3AD8D6044EAF}"/>
    <cellStyle name="Comma 389 2 2" xfId="3725" xr:uid="{04ADBB7A-E61D-4339-940D-D783F8209F9F}"/>
    <cellStyle name="Comma 389 3" xfId="2695" xr:uid="{42B83D69-ECFF-4617-859C-F8090ADB6433}"/>
    <cellStyle name="Comma 389 4" xfId="4821" xr:uid="{29264845-14FF-42A6-91BE-C5C64F42E6D4}"/>
    <cellStyle name="Comma 39" xfId="239" xr:uid="{A8AC870E-A1FD-4D3D-AF33-A7F40675A7E0}"/>
    <cellStyle name="Comma 39 2" xfId="1317" xr:uid="{2E7A2738-3798-410D-9394-A090ADD51909}"/>
    <cellStyle name="Comma 39 2 2" xfId="3375" xr:uid="{C2BFA0DD-93FE-40F4-AEB5-E275DEF68C53}"/>
    <cellStyle name="Comma 39 3" xfId="2345" xr:uid="{062E643A-FBD3-4496-B472-E4C02A20FDBE}"/>
    <cellStyle name="Comma 39 4" xfId="4471" xr:uid="{C94BA7A2-4AB5-4FA1-9F6A-1150391B2227}"/>
    <cellStyle name="Comma 390" xfId="630" xr:uid="{6182CB37-1D24-4652-9144-6F5FABDEE766}"/>
    <cellStyle name="Comma 390 2" xfId="1668" xr:uid="{7CA48197-86E5-43DF-B83C-9A14141A08FB}"/>
    <cellStyle name="Comma 390 2 2" xfId="3726" xr:uid="{F9C23AC8-C469-4394-866D-AC186A94CB0C}"/>
    <cellStyle name="Comma 390 3" xfId="2696" xr:uid="{33AFF1D3-909F-4058-8B5A-16DB333238AD}"/>
    <cellStyle name="Comma 390 4" xfId="4822" xr:uid="{0B3615A9-2A23-46A3-9EF0-46534294C14E}"/>
    <cellStyle name="Comma 391" xfId="631" xr:uid="{F61B6860-1D14-4882-B634-98427357F599}"/>
    <cellStyle name="Comma 391 2" xfId="1669" xr:uid="{32E6A0EF-6C2D-41D2-8A8A-647D135C5A9F}"/>
    <cellStyle name="Comma 391 2 2" xfId="3727" xr:uid="{A122F737-3428-4B39-B831-7D5CDD4585F7}"/>
    <cellStyle name="Comma 391 3" xfId="2697" xr:uid="{D98025C8-7FD1-4D81-A46A-40EF850CCE98}"/>
    <cellStyle name="Comma 391 4" xfId="4823" xr:uid="{6871C888-5ABC-4F6E-A2E0-6AF8E887F996}"/>
    <cellStyle name="Comma 392" xfId="632" xr:uid="{4195CF46-DA6B-43D1-940E-D65BC1C0AC2A}"/>
    <cellStyle name="Comma 392 2" xfId="1670" xr:uid="{873938F3-F351-4002-9FF0-9A6B8D8F09ED}"/>
    <cellStyle name="Comma 392 2 2" xfId="3728" xr:uid="{D0B91602-0462-417B-A4A8-93193C2C0B30}"/>
    <cellStyle name="Comma 392 3" xfId="2698" xr:uid="{2C8F2CCD-2B3F-43E1-BC0C-88E1B7A7DA25}"/>
    <cellStyle name="Comma 392 4" xfId="4824" xr:uid="{1A69A77B-89A4-4B0D-A16C-A3CC983F4DA7}"/>
    <cellStyle name="Comma 393" xfId="633" xr:uid="{B48063E3-CDA1-4161-80E5-7B3734A90213}"/>
    <cellStyle name="Comma 393 2" xfId="1671" xr:uid="{A6BFDF22-CB81-4621-AD6D-DB5491E20040}"/>
    <cellStyle name="Comma 393 2 2" xfId="3729" xr:uid="{8578859C-68D7-4A46-8536-D32F8F17E02C}"/>
    <cellStyle name="Comma 393 3" xfId="2699" xr:uid="{3E5FEA5E-16F2-42AA-8CFF-2DE8AE386D24}"/>
    <cellStyle name="Comma 393 4" xfId="4825" xr:uid="{1D6A4986-7742-41A8-AAF6-C2CD42132286}"/>
    <cellStyle name="Comma 394" xfId="634" xr:uid="{AC722A7F-552D-4DCB-92FF-A103737A217C}"/>
    <cellStyle name="Comma 394 2" xfId="1672" xr:uid="{8B8D113B-1B6F-4F2B-9E5A-122CB28B3E5F}"/>
    <cellStyle name="Comma 394 2 2" xfId="3730" xr:uid="{D6B127A4-45B5-4340-91E3-CDF9203466E3}"/>
    <cellStyle name="Comma 394 3" xfId="2700" xr:uid="{0838CE47-DA18-4451-A049-09472BCA7AFC}"/>
    <cellStyle name="Comma 394 4" xfId="4826" xr:uid="{11F06E55-9253-4654-979A-8725C866D399}"/>
    <cellStyle name="Comma 395" xfId="635" xr:uid="{E601FF34-9381-47FB-BE9F-66A7234BCFB6}"/>
    <cellStyle name="Comma 395 2" xfId="1673" xr:uid="{4521078D-EE24-4601-AA62-5F4B1E8E5EF8}"/>
    <cellStyle name="Comma 395 2 2" xfId="3731" xr:uid="{C183ED6E-85DB-4FBB-AC45-ECD82C851966}"/>
    <cellStyle name="Comma 395 3" xfId="2701" xr:uid="{FC08EAAE-FE1A-46F1-8C24-4475F7339C8C}"/>
    <cellStyle name="Comma 395 4" xfId="4827" xr:uid="{2B79402F-1E4D-4527-97F4-544796FF45BC}"/>
    <cellStyle name="Comma 396" xfId="636" xr:uid="{9DCC0496-094B-4238-9E04-2FD2FBF0B14F}"/>
    <cellStyle name="Comma 396 2" xfId="1674" xr:uid="{D9DDCE08-D769-4989-A170-CAA6D5813B01}"/>
    <cellStyle name="Comma 396 2 2" xfId="3732" xr:uid="{1E75FAD1-5D04-41B7-B563-C6C1F0577D0C}"/>
    <cellStyle name="Comma 396 3" xfId="2702" xr:uid="{14A71C76-7CE5-455F-A8A5-D36D1B562F49}"/>
    <cellStyle name="Comma 396 4" xfId="4828" xr:uid="{8F9151FF-224E-4C8A-898E-B0C694ACDDFF}"/>
    <cellStyle name="Comma 397" xfId="637" xr:uid="{67A5422D-4F10-4D63-BF51-EC9099C325A8}"/>
    <cellStyle name="Comma 397 2" xfId="1675" xr:uid="{4CD49035-818F-44D4-8AEC-D8D774F287C2}"/>
    <cellStyle name="Comma 397 2 2" xfId="3733" xr:uid="{2C1E0D21-24C6-4DE9-B9A4-CB00D89FF0F8}"/>
    <cellStyle name="Comma 397 3" xfId="2703" xr:uid="{AE69C23F-BA12-4EB5-997F-3C55E5457D4C}"/>
    <cellStyle name="Comma 397 4" xfId="4829" xr:uid="{37A7AD45-3386-457E-B9D2-A9448DB6E9E1}"/>
    <cellStyle name="Comma 398" xfId="638" xr:uid="{7B17D851-CD6A-494B-8FE9-81E833D3FAB8}"/>
    <cellStyle name="Comma 398 2" xfId="1676" xr:uid="{2679D250-810D-4D61-8949-10C8A6AFC1A0}"/>
    <cellStyle name="Comma 398 2 2" xfId="3734" xr:uid="{4CAE437C-4EB9-41E6-A35D-23B573AB3793}"/>
    <cellStyle name="Comma 398 3" xfId="2704" xr:uid="{EBF8DAEE-D064-45E3-AF23-F2A426A83BD6}"/>
    <cellStyle name="Comma 398 4" xfId="4830" xr:uid="{801FB0C4-19A6-4FE5-9D49-5B083569CD32}"/>
    <cellStyle name="Comma 399" xfId="639" xr:uid="{0AF64778-98BE-46DD-8A3D-0AB40F592B3D}"/>
    <cellStyle name="Comma 399 2" xfId="1677" xr:uid="{2543B63B-FC6A-4D25-8739-7CAAEBFDDB84}"/>
    <cellStyle name="Comma 399 2 2" xfId="3735" xr:uid="{EBADDB7D-CE84-41B6-9084-DF6A63B86996}"/>
    <cellStyle name="Comma 399 3" xfId="2705" xr:uid="{2D48ADE3-DFB1-4CB3-9991-EE995504121A}"/>
    <cellStyle name="Comma 399 4" xfId="4831" xr:uid="{AC3710DA-ACAB-4D7E-BE80-A436B08A21D5}"/>
    <cellStyle name="Comma 4" xfId="73" xr:uid="{B1EAF407-094A-4B5F-B240-2B5F3B9A8208}"/>
    <cellStyle name="Comma 4 2" xfId="74" xr:uid="{0BD1E936-928E-4A0D-8610-0C8332E30A6D}"/>
    <cellStyle name="Comma 4 2 2" xfId="1280" xr:uid="{0FBF2E9C-ABE5-4737-A02D-9607330B047B}"/>
    <cellStyle name="Comma 4 2 2 2" xfId="3338" xr:uid="{3ADE8B49-E00E-4644-9C55-32B0B4137237}"/>
    <cellStyle name="Comma 4 2 3" xfId="2308" xr:uid="{4300A57A-9FB4-4922-91A7-3A498F3F92FC}"/>
    <cellStyle name="Comma 4 2 4" xfId="4434" xr:uid="{351AEE52-835B-4BD0-9788-46AA6920BECE}"/>
    <cellStyle name="Comma 4 3" xfId="1279" xr:uid="{CBA83BAA-19D5-43D5-9223-5071080C7B00}"/>
    <cellStyle name="Comma 4 3 2" xfId="3337" xr:uid="{70B90584-2002-4C1C-B823-26267CA9EF1A}"/>
    <cellStyle name="Comma 4 4" xfId="2307" xr:uid="{A5F3BE57-7C6D-477F-8DCE-AB5480EB3DEB}"/>
    <cellStyle name="Comma 4 5" xfId="4433" xr:uid="{58D3B546-94B0-4D0C-BA0A-01715240250E}"/>
    <cellStyle name="Comma 40" xfId="240" xr:uid="{5D040D27-4D90-41AB-93E7-96A96C8C3585}"/>
    <cellStyle name="Comma 40 2" xfId="1318" xr:uid="{2A143359-4AEA-494D-AF03-3AD666BA5FD0}"/>
    <cellStyle name="Comma 40 2 2" xfId="3376" xr:uid="{D6009892-6AE2-423E-A59E-ACC87154F3AC}"/>
    <cellStyle name="Comma 40 3" xfId="2346" xr:uid="{9033F154-0799-4C87-B812-4F2FC3266EB7}"/>
    <cellStyle name="Comma 40 4" xfId="4472" xr:uid="{89F4EB85-04A3-4266-82B9-39CB22D08D1C}"/>
    <cellStyle name="Comma 400" xfId="640" xr:uid="{2355B916-85CC-4B41-9B3E-976DC42966C6}"/>
    <cellStyle name="Comma 400 2" xfId="1678" xr:uid="{6AC22C0D-A3D3-48A3-879F-7F25504D0108}"/>
    <cellStyle name="Comma 400 2 2" xfId="3736" xr:uid="{1DE18AE9-AFF1-4A71-ADE0-7971C35B5D81}"/>
    <cellStyle name="Comma 400 3" xfId="2706" xr:uid="{5F41C4F1-BBE8-4A9B-93CD-4D9DAC083568}"/>
    <cellStyle name="Comma 400 4" xfId="4832" xr:uid="{5DEDD15F-FCDB-4B17-9AF2-D3A43F4F4A38}"/>
    <cellStyle name="Comma 401" xfId="641" xr:uid="{CF61FBE5-9770-46BC-A80D-244D0661A457}"/>
    <cellStyle name="Comma 401 2" xfId="1679" xr:uid="{DADAB27E-565D-489D-8821-1B66B9628220}"/>
    <cellStyle name="Comma 401 2 2" xfId="3737" xr:uid="{718C1F06-B97E-4136-9552-4D920D7D7C4D}"/>
    <cellStyle name="Comma 401 3" xfId="2707" xr:uid="{819325B7-5E0A-454B-8381-30A7F4F3A60C}"/>
    <cellStyle name="Comma 401 4" xfId="4833" xr:uid="{57785EC4-D9C9-45C3-AC18-51F2920FE4A6}"/>
    <cellStyle name="Comma 402" xfId="642" xr:uid="{17EB851A-C13D-41D6-9AE2-9E3AD6D516C5}"/>
    <cellStyle name="Comma 402 2" xfId="1680" xr:uid="{4B9150CC-F0AB-4EDD-94A3-5D7A507C8628}"/>
    <cellStyle name="Comma 402 2 2" xfId="3738" xr:uid="{90BFC8D9-F8B6-42E9-8338-CFAECFB11086}"/>
    <cellStyle name="Comma 402 3" xfId="2708" xr:uid="{051A2204-6B60-43F6-BEA2-94BCE492B4DD}"/>
    <cellStyle name="Comma 402 4" xfId="4834" xr:uid="{FB511F9B-5EE3-4D2E-BFAC-70F57DF6CBFD}"/>
    <cellStyle name="Comma 403" xfId="643" xr:uid="{33650035-56BA-47BB-A636-3FAEDD0A4C4C}"/>
    <cellStyle name="Comma 403 2" xfId="1681" xr:uid="{606D1010-79F5-4ECB-B0B8-F70AAC854580}"/>
    <cellStyle name="Comma 403 2 2" xfId="3739" xr:uid="{CEC1C52D-7C56-4C9A-B1A1-6FA3D0649471}"/>
    <cellStyle name="Comma 403 3" xfId="2709" xr:uid="{AE36826C-748E-41F8-BF77-3AA4223E4255}"/>
    <cellStyle name="Comma 403 4" xfId="4835" xr:uid="{072E64AA-1308-42C8-B46A-5CD8E0688ADD}"/>
    <cellStyle name="Comma 404" xfId="644" xr:uid="{248F4A9C-8F8C-4E7C-8174-0FD016477FD6}"/>
    <cellStyle name="Comma 404 2" xfId="1682" xr:uid="{03CC0C67-B656-44D2-ADF6-DE79F2574FF6}"/>
    <cellStyle name="Comma 404 2 2" xfId="3740" xr:uid="{05692D63-41E5-42DE-977C-7C138659CA99}"/>
    <cellStyle name="Comma 404 3" xfId="2710" xr:uid="{73479C8A-08A6-499E-BCFF-F2C140B4A3DB}"/>
    <cellStyle name="Comma 404 4" xfId="4836" xr:uid="{3FB4C1BC-8137-4A46-B271-27001A588F9B}"/>
    <cellStyle name="Comma 405" xfId="645" xr:uid="{9A6533F4-AE2F-4C74-BA46-AA4779848CCA}"/>
    <cellStyle name="Comma 405 2" xfId="1683" xr:uid="{54DDC65E-3FE7-493E-805C-B07966E71B26}"/>
    <cellStyle name="Comma 405 2 2" xfId="3741" xr:uid="{B93CBA8E-4AEE-4DD3-B9D7-2DB1E974669B}"/>
    <cellStyle name="Comma 405 3" xfId="2711" xr:uid="{715CBC8E-CB76-47C8-A72B-7C355ECBA9D5}"/>
    <cellStyle name="Comma 405 4" xfId="4837" xr:uid="{8E83757B-E034-44AA-A427-0D9816332FBD}"/>
    <cellStyle name="Comma 406" xfId="646" xr:uid="{C62801E3-3CE0-468D-8D5E-E2DD9663BB48}"/>
    <cellStyle name="Comma 406 2" xfId="1684" xr:uid="{58EDFFB0-EF86-468D-9A00-E769450779E7}"/>
    <cellStyle name="Comma 406 2 2" xfId="3742" xr:uid="{9ADE5C33-7486-4F15-93E5-DBDDFBB9F16F}"/>
    <cellStyle name="Comma 406 3" xfId="2712" xr:uid="{D151796B-86A2-4451-9EE4-4E88E6FE7728}"/>
    <cellStyle name="Comma 406 4" xfId="4838" xr:uid="{B83A243E-994A-4C1B-AB7D-ED8838A4DC2F}"/>
    <cellStyle name="Comma 407" xfId="647" xr:uid="{EA7657CC-C183-438E-8321-5CFA3E6BB932}"/>
    <cellStyle name="Comma 407 2" xfId="1685" xr:uid="{FF40105D-6113-47BE-AEC4-67EBFF746B73}"/>
    <cellStyle name="Comma 407 2 2" xfId="3743" xr:uid="{236BC019-20D1-4894-8B40-691BA6068A7E}"/>
    <cellStyle name="Comma 407 3" xfId="2713" xr:uid="{994BB5D0-F963-49D8-B70E-49FC9F5334A7}"/>
    <cellStyle name="Comma 407 4" xfId="4839" xr:uid="{3B2B73AE-4A44-4443-8F2B-DB27D02457FD}"/>
    <cellStyle name="Comma 408" xfId="648" xr:uid="{9CF50487-CCF3-4F08-B4E6-326E18BAB50F}"/>
    <cellStyle name="Comma 408 2" xfId="1686" xr:uid="{4709B764-54B5-41C3-B53A-C650B8916430}"/>
    <cellStyle name="Comma 408 2 2" xfId="3744" xr:uid="{EA117A66-0DB1-4640-935A-7FD93EFC2528}"/>
    <cellStyle name="Comma 408 3" xfId="2714" xr:uid="{349F763B-15AE-4C90-A1A9-01CE77866B5C}"/>
    <cellStyle name="Comma 408 4" xfId="4840" xr:uid="{926FE6AE-D98E-4CA2-8921-DC9802C0F117}"/>
    <cellStyle name="Comma 409" xfId="649" xr:uid="{A1CFA8B2-F171-4563-BC0A-024EFC828B0E}"/>
    <cellStyle name="Comma 409 2" xfId="1687" xr:uid="{1A540CF6-C9D9-45D1-B843-BF939BC86586}"/>
    <cellStyle name="Comma 409 2 2" xfId="3745" xr:uid="{24E2DC79-9340-4057-99A9-4E78EB85DD2A}"/>
    <cellStyle name="Comma 409 3" xfId="2715" xr:uid="{95022E11-FFA7-49B4-825F-16F2E445132A}"/>
    <cellStyle name="Comma 409 4" xfId="4841" xr:uid="{F2968893-31A6-476B-BF08-922F0083B2FB}"/>
    <cellStyle name="Comma 41" xfId="241" xr:uid="{FED399A9-EB53-466B-9A62-304478035CA6}"/>
    <cellStyle name="Comma 41 2" xfId="1319" xr:uid="{7F18A9C1-21C3-4B57-AD86-A04884FAA470}"/>
    <cellStyle name="Comma 41 2 2" xfId="3377" xr:uid="{5BB315F7-29C2-4B9D-BE89-9E54878440B2}"/>
    <cellStyle name="Comma 41 3" xfId="2347" xr:uid="{9A948138-2E7B-4567-9DCE-C1F980047D83}"/>
    <cellStyle name="Comma 41 4" xfId="4473" xr:uid="{E36A2EB4-5C2C-43BD-959F-E1B48056B067}"/>
    <cellStyle name="Comma 410" xfId="650" xr:uid="{A51A7940-15C7-47DD-B1E4-72FA460D65E1}"/>
    <cellStyle name="Comma 410 2" xfId="1688" xr:uid="{5FF8C278-2945-4D50-B17C-967A0C36412C}"/>
    <cellStyle name="Comma 410 2 2" xfId="3746" xr:uid="{EC6DACD7-81F1-4965-89FA-D110574DE632}"/>
    <cellStyle name="Comma 410 3" xfId="2716" xr:uid="{F5DCF610-6889-4CE2-AAE0-30DC83B9CBFE}"/>
    <cellStyle name="Comma 410 4" xfId="4842" xr:uid="{6A2022A6-C9A2-4866-8A58-88021CA52927}"/>
    <cellStyle name="Comma 411" xfId="651" xr:uid="{2534783A-5550-4A7F-9358-D9FC544F906A}"/>
    <cellStyle name="Comma 411 2" xfId="1689" xr:uid="{99BB0C58-3DE2-4874-A324-B1A27054477D}"/>
    <cellStyle name="Comma 411 2 2" xfId="3747" xr:uid="{5616F80D-BCCF-4697-A382-83329B4F88DF}"/>
    <cellStyle name="Comma 411 3" xfId="2717" xr:uid="{EBBAA727-8E5B-4B43-9567-716EB648471A}"/>
    <cellStyle name="Comma 411 4" xfId="4843" xr:uid="{E45429AA-5907-4BB5-BA04-56BE33262B35}"/>
    <cellStyle name="Comma 412" xfId="652" xr:uid="{DC08B7BE-8EC8-4229-929C-834793829BD5}"/>
    <cellStyle name="Comma 412 2" xfId="1690" xr:uid="{A18CD0E9-57DE-4D97-990F-173A42973D42}"/>
    <cellStyle name="Comma 412 2 2" xfId="3748" xr:uid="{4F298718-5C0F-42AE-BFB3-DF9EF60D93B3}"/>
    <cellStyle name="Comma 412 3" xfId="2718" xr:uid="{E24D0ADB-C97B-4A58-B6A0-0FCCC5C6EAF2}"/>
    <cellStyle name="Comma 412 4" xfId="4844" xr:uid="{127B5680-D4E4-48B3-BB8E-8CC7A8C49891}"/>
    <cellStyle name="Comma 413" xfId="653" xr:uid="{F697CD41-BCB0-44DE-BE22-59878BD9A07E}"/>
    <cellStyle name="Comma 413 2" xfId="1691" xr:uid="{CE265339-933D-4A68-AF92-F2DD23EECA7B}"/>
    <cellStyle name="Comma 413 2 2" xfId="3749" xr:uid="{39799CA7-5187-4444-809D-FFCEE7D57E9D}"/>
    <cellStyle name="Comma 413 3" xfId="2719" xr:uid="{692081E8-4BDE-4F4F-B277-8CE86588428E}"/>
    <cellStyle name="Comma 413 4" xfId="4845" xr:uid="{8AF9537C-9A95-48AC-B806-0C4FE33B451D}"/>
    <cellStyle name="Comma 414" xfId="654" xr:uid="{7A65C150-FD6B-4CAF-94AD-3D2F8955B3A5}"/>
    <cellStyle name="Comma 414 2" xfId="1692" xr:uid="{6FCDC480-C8E1-4EFB-8E91-765B44A51A7A}"/>
    <cellStyle name="Comma 414 2 2" xfId="3750" xr:uid="{EC2E5335-9E04-4879-9BF4-C2D668F9DC9F}"/>
    <cellStyle name="Comma 414 3" xfId="2720" xr:uid="{E1416E69-9DE8-4171-BB64-296FB83BA311}"/>
    <cellStyle name="Comma 414 4" xfId="4846" xr:uid="{1A705301-A084-4D8D-8C6E-8823D684F261}"/>
    <cellStyle name="Comma 415" xfId="655" xr:uid="{E0AB52F1-F59E-4D19-BC50-A4D465D55DA5}"/>
    <cellStyle name="Comma 415 2" xfId="1693" xr:uid="{B95F5C52-B999-4EF3-9B6F-1334E65EE883}"/>
    <cellStyle name="Comma 415 2 2" xfId="3751" xr:uid="{126B4F32-235E-4F60-9C3D-17B981517387}"/>
    <cellStyle name="Comma 415 3" xfId="2721" xr:uid="{FDC9EC84-73C0-4E58-B01F-D449EAC6B2F5}"/>
    <cellStyle name="Comma 415 4" xfId="4847" xr:uid="{5EB835BE-C78E-4A81-B900-E5345BE4A4B4}"/>
    <cellStyle name="Comma 416" xfId="656" xr:uid="{71F8BF46-E771-45E7-AFCB-2A1ABDB735FC}"/>
    <cellStyle name="Comma 416 2" xfId="1694" xr:uid="{96D00DDE-E50A-4ACF-BA89-293C03360ECD}"/>
    <cellStyle name="Comma 416 2 2" xfId="3752" xr:uid="{8A82737E-A14C-4E75-AC03-A03A4CB9928D}"/>
    <cellStyle name="Comma 416 3" xfId="2722" xr:uid="{A06A2072-BBB2-4B4A-8B4F-CBC0A1B84A14}"/>
    <cellStyle name="Comma 416 4" xfId="4848" xr:uid="{C7839B42-052A-4D85-8946-08ACE120D553}"/>
    <cellStyle name="Comma 417" xfId="657" xr:uid="{092AF4F5-D17B-4486-8B4F-C88F3AE4BF2E}"/>
    <cellStyle name="Comma 417 2" xfId="1695" xr:uid="{8DF7EA75-D6C1-42A3-B0EC-2B652100F5AC}"/>
    <cellStyle name="Comma 417 2 2" xfId="3753" xr:uid="{FF8EC57B-1419-44D3-B54D-789132FD76BA}"/>
    <cellStyle name="Comma 417 3" xfId="2723" xr:uid="{99FCD031-5E1E-4C83-9324-2528914D86D6}"/>
    <cellStyle name="Comma 417 4" xfId="4849" xr:uid="{1DBCF2D2-0188-4BF9-9DDD-4115D99B6442}"/>
    <cellStyle name="Comma 418" xfId="658" xr:uid="{499C52AE-BFBE-4B3A-98E4-30E56A5F760C}"/>
    <cellStyle name="Comma 418 2" xfId="1696" xr:uid="{C4CB213B-D047-4F49-8478-2F2D2ED96B19}"/>
    <cellStyle name="Comma 418 2 2" xfId="3754" xr:uid="{66B84397-723E-4EE3-A150-A71671E021A7}"/>
    <cellStyle name="Comma 418 3" xfId="2724" xr:uid="{C46CFCD3-1D17-41E0-921D-3CEB702E8CA3}"/>
    <cellStyle name="Comma 418 4" xfId="4850" xr:uid="{BC0A27ED-0991-405C-8EAF-A438D2F6934D}"/>
    <cellStyle name="Comma 419" xfId="659" xr:uid="{9E84B596-4EDD-4C4E-9CB6-598964F29BD7}"/>
    <cellStyle name="Comma 419 2" xfId="1697" xr:uid="{145787D8-498A-405D-B310-D1C018435F74}"/>
    <cellStyle name="Comma 419 2 2" xfId="3755" xr:uid="{B6DE008B-166A-42E4-98C7-3C64A0399B08}"/>
    <cellStyle name="Comma 419 3" xfId="2725" xr:uid="{12FD6FD5-68A7-49E2-B36F-03DE365ED839}"/>
    <cellStyle name="Comma 419 4" xfId="4851" xr:uid="{40F06906-8F76-4AE1-8CA6-33F1F1B02192}"/>
    <cellStyle name="Comma 42" xfId="242" xr:uid="{3AA90BB3-1393-411B-926D-C2CBA5B684C8}"/>
    <cellStyle name="Comma 42 2" xfId="1320" xr:uid="{BC350961-A2C2-483A-B01D-543FE9D3082D}"/>
    <cellStyle name="Comma 42 2 2" xfId="3378" xr:uid="{69046864-0A25-4A05-9919-27BFB71BC232}"/>
    <cellStyle name="Comma 42 3" xfId="2348" xr:uid="{788C2009-ED4B-44C3-A8CC-A7824DB80EC1}"/>
    <cellStyle name="Comma 42 4" xfId="4474" xr:uid="{A661FF34-C2C6-499E-95BD-C5E0D2A1A587}"/>
    <cellStyle name="Comma 420" xfId="660" xr:uid="{6FDAB963-2FC1-47C0-8DFB-A11D1E9BBDC0}"/>
    <cellStyle name="Comma 420 2" xfId="1698" xr:uid="{A0F494A6-FA6D-421B-8D41-BCD854E62CE1}"/>
    <cellStyle name="Comma 420 2 2" xfId="3756" xr:uid="{4F7E77DC-3260-41C1-BC0A-57230F8B57FD}"/>
    <cellStyle name="Comma 420 3" xfId="2726" xr:uid="{CCE0E5A8-9E0C-4644-9672-E7B7CC9DDCD7}"/>
    <cellStyle name="Comma 420 4" xfId="4852" xr:uid="{6059C563-9FC7-43E4-ADA6-DC7AE2875775}"/>
    <cellStyle name="Comma 421" xfId="661" xr:uid="{C9826A21-0432-4F83-A89F-6576381A182B}"/>
    <cellStyle name="Comma 421 2" xfId="1699" xr:uid="{87052CF7-18D8-4180-9E83-53AFE372ECEC}"/>
    <cellStyle name="Comma 421 2 2" xfId="3757" xr:uid="{22079BF4-D2D6-49E3-AC66-7A3DB9964273}"/>
    <cellStyle name="Comma 421 3" xfId="2727" xr:uid="{208716DC-02C8-43B9-BAAA-06AAE46261D6}"/>
    <cellStyle name="Comma 421 4" xfId="4853" xr:uid="{DF7C5774-418D-4F03-AB5D-F2C62B6EB3A4}"/>
    <cellStyle name="Comma 422" xfId="662" xr:uid="{895828D4-0950-4A37-AC4C-ED39B38998CC}"/>
    <cellStyle name="Comma 422 2" xfId="1700" xr:uid="{F560E9F0-4038-47B0-89B7-7A476F2A3191}"/>
    <cellStyle name="Comma 422 2 2" xfId="3758" xr:uid="{5D272847-D3C3-4CE3-99C5-83FC1345B9BA}"/>
    <cellStyle name="Comma 422 3" xfId="2728" xr:uid="{13916D84-A1C2-4075-B6C3-A3FF3FC0EDBE}"/>
    <cellStyle name="Comma 422 4" xfId="4854" xr:uid="{A0108942-0546-4506-9E6C-77347EB49076}"/>
    <cellStyle name="Comma 423" xfId="663" xr:uid="{0CEBFF80-40F6-4027-B677-7E6595855406}"/>
    <cellStyle name="Comma 423 2" xfId="1701" xr:uid="{8321E566-8318-4B1F-A853-012DAA65EF49}"/>
    <cellStyle name="Comma 423 2 2" xfId="3759" xr:uid="{1E36711A-49A7-4591-B164-1B64469F9A49}"/>
    <cellStyle name="Comma 423 3" xfId="2729" xr:uid="{177D3D96-6D09-486A-8C86-B84659D262FF}"/>
    <cellStyle name="Comma 423 4" xfId="4855" xr:uid="{E24B2885-B79D-40FA-AE8C-4742A88347DA}"/>
    <cellStyle name="Comma 424" xfId="664" xr:uid="{1048CBA2-D17E-426D-897D-D9310620D149}"/>
    <cellStyle name="Comma 424 2" xfId="1702" xr:uid="{0A906DD9-FE68-4BA6-A2ED-8B59A0C7EB56}"/>
    <cellStyle name="Comma 424 2 2" xfId="3760" xr:uid="{A6065073-38E1-46E3-8E6A-A757FD9CC2F6}"/>
    <cellStyle name="Comma 424 3" xfId="2730" xr:uid="{0B95E37C-EDC2-4FC3-A2BE-4F29F65132AC}"/>
    <cellStyle name="Comma 424 4" xfId="4856" xr:uid="{29B8F57D-6AFC-40B7-BD15-1DD9BA9FE92D}"/>
    <cellStyle name="Comma 425" xfId="665" xr:uid="{CCC6DD45-984C-4C41-8738-F2D132220A26}"/>
    <cellStyle name="Comma 425 2" xfId="1703" xr:uid="{666E3694-C5AC-418E-825E-8B2E1425B6C6}"/>
    <cellStyle name="Comma 425 2 2" xfId="3761" xr:uid="{D25BF44D-A1E6-4C9D-9363-D75273F72345}"/>
    <cellStyle name="Comma 425 3" xfId="2731" xr:uid="{1B28A62F-6087-4F06-91BA-CA9AA68A2624}"/>
    <cellStyle name="Comma 425 4" xfId="4857" xr:uid="{14EC4785-E8B9-4987-8D9E-69E93FD65297}"/>
    <cellStyle name="Comma 426" xfId="666" xr:uid="{A6131511-8AA3-4F69-A17D-2E8E65CAE400}"/>
    <cellStyle name="Comma 426 2" xfId="1704" xr:uid="{CE1E8239-0C84-4522-83D4-24CF22C0EF3C}"/>
    <cellStyle name="Comma 426 2 2" xfId="3762" xr:uid="{093FF5FA-4158-4616-83F4-CA59643780E6}"/>
    <cellStyle name="Comma 426 3" xfId="2732" xr:uid="{A02758A9-5DDD-4433-83B9-B1A300A800CB}"/>
    <cellStyle name="Comma 426 4" xfId="4858" xr:uid="{9C99AC70-269A-441B-9B9F-7867E788173A}"/>
    <cellStyle name="Comma 427" xfId="667" xr:uid="{D1F0BDC0-3A28-42C6-9571-C9AA203B5379}"/>
    <cellStyle name="Comma 427 2" xfId="1705" xr:uid="{D02CE973-BCD9-45D9-84E1-03C8677C8BA4}"/>
    <cellStyle name="Comma 427 2 2" xfId="3763" xr:uid="{554E78B7-D09F-428B-A00A-0EC7B6B79792}"/>
    <cellStyle name="Comma 427 3" xfId="2733" xr:uid="{8231CA87-D02C-43D7-B854-BF728C936742}"/>
    <cellStyle name="Comma 427 4" xfId="4859" xr:uid="{03E64EDA-4D11-411A-844E-FF0340037F73}"/>
    <cellStyle name="Comma 428" xfId="668" xr:uid="{ABEB60C6-C014-44E2-BEA0-80B0B272BFD5}"/>
    <cellStyle name="Comma 428 2" xfId="1706" xr:uid="{BD887B6A-BF04-4A7F-8473-84C84A5E2144}"/>
    <cellStyle name="Comma 428 2 2" xfId="3764" xr:uid="{F65F4578-5B2B-497F-A2A7-DFB830D9718F}"/>
    <cellStyle name="Comma 428 3" xfId="2734" xr:uid="{9CD09F36-D142-401C-8122-895CEBA21D24}"/>
    <cellStyle name="Comma 428 4" xfId="4860" xr:uid="{0FD5809B-703E-42CC-BE9B-EF41AE4487A7}"/>
    <cellStyle name="Comma 429" xfId="669" xr:uid="{830513C7-6EF6-41AD-8507-6F7B4CDBF3EB}"/>
    <cellStyle name="Comma 429 2" xfId="1707" xr:uid="{703C60A7-3BAB-4501-8AC0-7C87CC158DA8}"/>
    <cellStyle name="Comma 429 2 2" xfId="3765" xr:uid="{DA99C589-BFA1-4D3E-816E-BFAB9BCBEA23}"/>
    <cellStyle name="Comma 429 3" xfId="2735" xr:uid="{8EBD3A2A-E9B6-41DE-9E88-63B9478E0902}"/>
    <cellStyle name="Comma 429 4" xfId="4861" xr:uid="{0F5EECBE-F516-4E98-AF23-91B474CC55D4}"/>
    <cellStyle name="Comma 43" xfId="243" xr:uid="{6ED96D76-9F93-4793-AEF6-B788E39BB0AF}"/>
    <cellStyle name="Comma 43 2" xfId="1321" xr:uid="{B5FD877F-C682-4EF9-A89F-61E830F355D0}"/>
    <cellStyle name="Comma 43 2 2" xfId="3379" xr:uid="{794FEED4-7035-4C01-8311-C598508E7EF4}"/>
    <cellStyle name="Comma 43 3" xfId="2349" xr:uid="{20A8CE51-38E5-478E-9B74-30F9A9B29919}"/>
    <cellStyle name="Comma 43 4" xfId="4475" xr:uid="{825F8AF8-8014-48B5-98B3-26BB324C6757}"/>
    <cellStyle name="Comma 430" xfId="670" xr:uid="{34A14F28-42CA-4CA7-85B9-57628CA6EED8}"/>
    <cellStyle name="Comma 430 2" xfId="1708" xr:uid="{4BDE15EB-A80E-4551-A777-B62C88312943}"/>
    <cellStyle name="Comma 430 2 2" xfId="3766" xr:uid="{963776CB-473F-47AB-ABB9-47691F665405}"/>
    <cellStyle name="Comma 430 3" xfId="2736" xr:uid="{014C7296-F9F9-409A-A220-76428A9CBC99}"/>
    <cellStyle name="Comma 430 4" xfId="4862" xr:uid="{4148887A-7C53-40EF-95BA-A4E466598CCC}"/>
    <cellStyle name="Comma 431" xfId="671" xr:uid="{6EDC65E7-B1C7-4DD2-8AB3-087B577A7711}"/>
    <cellStyle name="Comma 431 2" xfId="1709" xr:uid="{D2CA72E8-6718-47BC-9D3D-B40520D1E13A}"/>
    <cellStyle name="Comma 431 2 2" xfId="3767" xr:uid="{1AFBF85A-F7EB-4CD9-AD1B-AFC743E4E8DB}"/>
    <cellStyle name="Comma 431 3" xfId="2737" xr:uid="{59FC5B41-405A-439A-9CA7-62DA6E75D9C1}"/>
    <cellStyle name="Comma 431 4" xfId="4863" xr:uid="{2ECC24B3-0355-42E3-9957-CE9397845B79}"/>
    <cellStyle name="Comma 432" xfId="672" xr:uid="{AF28C2D9-1B53-41EC-B8AD-8AA3774AB96E}"/>
    <cellStyle name="Comma 432 2" xfId="1710" xr:uid="{1F2384D0-0A86-43D1-8151-250462EA6EC9}"/>
    <cellStyle name="Comma 432 2 2" xfId="3768" xr:uid="{7DFBF47B-1479-4DBE-8DCD-F9234BE78B0E}"/>
    <cellStyle name="Comma 432 3" xfId="2738" xr:uid="{1CD34E90-5D79-47F7-8BDD-57EEF395368E}"/>
    <cellStyle name="Comma 432 4" xfId="4864" xr:uid="{FCA4AEB7-C07E-4C3F-BB3F-16193BF6AEFF}"/>
    <cellStyle name="Comma 433" xfId="673" xr:uid="{71AAA983-5E2C-4DE4-A59A-C79AAB17D530}"/>
    <cellStyle name="Comma 433 2" xfId="1711" xr:uid="{4A49F689-D7EC-4E9A-B769-3D974B3D8A51}"/>
    <cellStyle name="Comma 433 2 2" xfId="3769" xr:uid="{1B7F2356-B864-454B-8CEB-AB9A3C68A2BD}"/>
    <cellStyle name="Comma 433 3" xfId="2739" xr:uid="{AEEEF673-08BE-498F-B027-3290927BC19E}"/>
    <cellStyle name="Comma 433 4" xfId="4865" xr:uid="{C7598BB6-8294-4773-9663-25C0F3CBDE4A}"/>
    <cellStyle name="Comma 434" xfId="674" xr:uid="{14372953-6C93-4872-A5EC-A01339705704}"/>
    <cellStyle name="Comma 434 2" xfId="1712" xr:uid="{A4D9D95D-B65C-4394-A1E8-0E1055F5010B}"/>
    <cellStyle name="Comma 434 2 2" xfId="3770" xr:uid="{4F8AB504-D650-4319-A3F7-BFDF9635038D}"/>
    <cellStyle name="Comma 434 3" xfId="2740" xr:uid="{75561B41-E324-4B68-992A-F8425A3CA59D}"/>
    <cellStyle name="Comma 434 4" xfId="4866" xr:uid="{7CD45660-DBB9-4FC7-856A-296B569BF41B}"/>
    <cellStyle name="Comma 435" xfId="675" xr:uid="{66099E2B-C668-42C4-A1C8-A427FA1930BE}"/>
    <cellStyle name="Comma 435 2" xfId="1713" xr:uid="{F61D338C-31FC-4E2A-B9CF-4A2084E5ADEC}"/>
    <cellStyle name="Comma 435 2 2" xfId="3771" xr:uid="{5A3CF42E-D938-4DAB-9A75-42217FC25E65}"/>
    <cellStyle name="Comma 435 3" xfId="2741" xr:uid="{22E04853-AAB4-4EE9-B8BE-770361914AB3}"/>
    <cellStyle name="Comma 435 4" xfId="4867" xr:uid="{EE08F667-3A1D-49FE-8AD0-83833900983C}"/>
    <cellStyle name="Comma 436" xfId="676" xr:uid="{29F6F5CC-7623-4ACE-B1EF-015DB375DC79}"/>
    <cellStyle name="Comma 436 2" xfId="1714" xr:uid="{B50E24D7-403D-4A1D-AFA3-FC7C11C04620}"/>
    <cellStyle name="Comma 436 2 2" xfId="3772" xr:uid="{DA189FC4-3909-4A39-9DE6-F509A4382491}"/>
    <cellStyle name="Comma 436 3" xfId="2742" xr:uid="{0E116E90-7546-4281-AD18-47DF50268161}"/>
    <cellStyle name="Comma 436 4" xfId="4868" xr:uid="{07DF4E79-EA7F-4E2E-8F86-315BD8FD415F}"/>
    <cellStyle name="Comma 437" xfId="677" xr:uid="{96FC980B-0A80-4312-9CA0-2FB4E448E0A5}"/>
    <cellStyle name="Comma 437 2" xfId="1715" xr:uid="{05ABB42E-B45A-4325-8384-71A05FF557B0}"/>
    <cellStyle name="Comma 437 2 2" xfId="3773" xr:uid="{202C40E9-A372-435D-AC45-FAD0242ADE16}"/>
    <cellStyle name="Comma 437 3" xfId="2743" xr:uid="{311A5BDA-5216-428B-8610-A553A0FFA575}"/>
    <cellStyle name="Comma 437 4" xfId="4869" xr:uid="{3A2631D5-5D76-4C78-9CFA-45777634BC4B}"/>
    <cellStyle name="Comma 438" xfId="678" xr:uid="{7D1B65FB-5C25-4C1A-B0B6-0C558C1512E6}"/>
    <cellStyle name="Comma 438 2" xfId="1716" xr:uid="{69FAC105-FAFB-4EBE-83C8-CFC9F85B1F86}"/>
    <cellStyle name="Comma 438 2 2" xfId="3774" xr:uid="{BFE21B2B-CC9D-47B0-9201-6361C0BF7ED6}"/>
    <cellStyle name="Comma 438 3" xfId="2744" xr:uid="{2C8522CF-C3F8-4C8A-9011-8FE92FE9ECDF}"/>
    <cellStyle name="Comma 438 4" xfId="4870" xr:uid="{6F2FB522-7B71-49C5-91D7-B3D108FA8A97}"/>
    <cellStyle name="Comma 439" xfId="679" xr:uid="{0F20D034-58A9-46E5-A61A-832E5353749C}"/>
    <cellStyle name="Comma 439 2" xfId="1717" xr:uid="{85D00CE2-C7D2-4072-A50B-21C1C0F15D55}"/>
    <cellStyle name="Comma 439 2 2" xfId="3775" xr:uid="{24057669-2332-4D77-858A-D0A5E91A0E29}"/>
    <cellStyle name="Comma 439 3" xfId="2745" xr:uid="{587E9839-4DE5-420C-9441-9DAF68F67501}"/>
    <cellStyle name="Comma 439 4" xfId="4871" xr:uid="{2C258833-25C6-41FE-A567-F19609C37BD3}"/>
    <cellStyle name="Comma 44" xfId="244" xr:uid="{EF182962-4AAC-44E4-8D35-26E592CC6073}"/>
    <cellStyle name="Comma 44 2" xfId="1322" xr:uid="{1116DAB1-865B-4CA5-A920-2AE258B143F7}"/>
    <cellStyle name="Comma 44 2 2" xfId="3380" xr:uid="{FA3AB767-3379-44BB-B46C-D8F042C5F7F9}"/>
    <cellStyle name="Comma 44 3" xfId="2350" xr:uid="{2771F357-4F08-4554-AF76-F524C69660BE}"/>
    <cellStyle name="Comma 44 4" xfId="4476" xr:uid="{F920926D-2432-40CA-80C8-201C2ECC4FA4}"/>
    <cellStyle name="Comma 440" xfId="680" xr:uid="{0E7FC8A2-7556-4E69-8733-3002640B92D8}"/>
    <cellStyle name="Comma 440 2" xfId="1718" xr:uid="{8B02E80F-A7D6-4845-A980-BCE67356184D}"/>
    <cellStyle name="Comma 440 2 2" xfId="3776" xr:uid="{2C145C8F-0AEB-499F-9214-D21E50EF3993}"/>
    <cellStyle name="Comma 440 3" xfId="2746" xr:uid="{E43B55D7-1196-4ADD-B1EC-0C4F784F9C16}"/>
    <cellStyle name="Comma 440 4" xfId="4872" xr:uid="{5CDECDE7-17D9-4314-B3AB-0F8B15800574}"/>
    <cellStyle name="Comma 441" xfId="681" xr:uid="{15BC2F4D-8304-4D2B-99A6-CFD10F5EC193}"/>
    <cellStyle name="Comma 441 2" xfId="1719" xr:uid="{BA4EFE4E-7B6D-4884-AB2C-9706CDB0A005}"/>
    <cellStyle name="Comma 441 2 2" xfId="3777" xr:uid="{FD1C3529-8E3B-4779-9173-35DF90E1B95B}"/>
    <cellStyle name="Comma 441 3" xfId="2747" xr:uid="{02AD324B-E5B8-4B5B-8733-9F363BA87244}"/>
    <cellStyle name="Comma 441 4" xfId="4873" xr:uid="{5A22DF40-D337-4F8C-A7FA-73070F914113}"/>
    <cellStyle name="Comma 442" xfId="682" xr:uid="{B4BE88C6-DE7A-4991-9B51-7246506F4351}"/>
    <cellStyle name="Comma 442 2" xfId="1720" xr:uid="{9146CA51-BE34-4465-856E-34BBF8526AF0}"/>
    <cellStyle name="Comma 442 2 2" xfId="3778" xr:uid="{B03488D2-8548-4666-9AD7-44CFCCD61AB7}"/>
    <cellStyle name="Comma 442 3" xfId="2748" xr:uid="{7E3DB75A-ACF6-4519-A59D-49DECCDC100A}"/>
    <cellStyle name="Comma 442 4" xfId="4874" xr:uid="{158E53A6-A2A9-4C10-9A89-F5A4D1B8E085}"/>
    <cellStyle name="Comma 443" xfId="683" xr:uid="{06F34DB5-C7BE-4ECF-9631-690CC97ABA79}"/>
    <cellStyle name="Comma 443 2" xfId="1721" xr:uid="{DB636032-02BE-4F3B-8CD5-6001484FCB11}"/>
    <cellStyle name="Comma 443 2 2" xfId="3779" xr:uid="{EE09F3F8-88E2-4B12-A49B-A3E43BFAF73F}"/>
    <cellStyle name="Comma 443 3" xfId="2749" xr:uid="{A4958CC4-A4A7-44D7-8CF1-55918F68A72A}"/>
    <cellStyle name="Comma 443 4" xfId="4875" xr:uid="{BC2751C8-84ED-4009-A810-08CB6DC46E49}"/>
    <cellStyle name="Comma 444" xfId="684" xr:uid="{6A5BB133-AF60-44E0-B54D-B311E6CBCDAE}"/>
    <cellStyle name="Comma 444 2" xfId="1722" xr:uid="{C3AF2D1C-021F-4A55-97F6-7DF12A2C903C}"/>
    <cellStyle name="Comma 444 2 2" xfId="3780" xr:uid="{31C8222E-A844-469A-9FC0-3521C0B2ED5F}"/>
    <cellStyle name="Comma 444 3" xfId="2750" xr:uid="{289B201A-291F-4CB3-887C-1DDC53F166ED}"/>
    <cellStyle name="Comma 444 4" xfId="4876" xr:uid="{B22E8933-8CE9-476D-AB2E-F0931D0171AB}"/>
    <cellStyle name="Comma 445" xfId="685" xr:uid="{F4170202-FCAA-40B3-9179-7A8048388A00}"/>
    <cellStyle name="Comma 445 2" xfId="1723" xr:uid="{A27A41AB-339D-4B45-9CC6-EB56D1003BE4}"/>
    <cellStyle name="Comma 445 2 2" xfId="3781" xr:uid="{3BAF3240-9BD6-452C-BE5A-94B56A648A76}"/>
    <cellStyle name="Comma 445 3" xfId="2751" xr:uid="{A0D30CA7-CA55-47E4-8057-57D87CFF4EDF}"/>
    <cellStyle name="Comma 445 4" xfId="4877" xr:uid="{E7320505-F3D5-4278-997F-05EE4226B764}"/>
    <cellStyle name="Comma 446" xfId="686" xr:uid="{C783BEE1-18F1-464A-9E97-B038DCE44EEF}"/>
    <cellStyle name="Comma 446 2" xfId="1724" xr:uid="{1C45ACE8-A74D-4DDA-B218-E955C7C81C30}"/>
    <cellStyle name="Comma 446 2 2" xfId="3782" xr:uid="{A0CA424C-FB65-474A-B144-C6AB49C9ED72}"/>
    <cellStyle name="Comma 446 3" xfId="2752" xr:uid="{9D10358B-2F63-49BA-8BAB-0F17BDCA2472}"/>
    <cellStyle name="Comma 446 4" xfId="4878" xr:uid="{69FAE03A-0263-4C4D-9C63-A073791CCA15}"/>
    <cellStyle name="Comma 447" xfId="687" xr:uid="{E9A33C43-CCFE-4196-8C28-C85604557FD4}"/>
    <cellStyle name="Comma 447 2" xfId="1725" xr:uid="{7F3F5A0E-20CA-4ED8-9A84-6C74DB47E2CE}"/>
    <cellStyle name="Comma 447 2 2" xfId="3783" xr:uid="{8201DB1C-72C2-48F0-AE7C-8E74E16988B5}"/>
    <cellStyle name="Comma 447 3" xfId="2753" xr:uid="{B33DD138-3D3C-4237-8830-E67037EAFD5C}"/>
    <cellStyle name="Comma 447 4" xfId="4879" xr:uid="{09E1401F-2CF0-4978-AB15-DDDB324F791A}"/>
    <cellStyle name="Comma 448" xfId="688" xr:uid="{E4388233-48EC-4097-93E1-CFF1E4A40F9C}"/>
    <cellStyle name="Comma 448 2" xfId="1726" xr:uid="{92283D0B-608B-4A4A-874F-2D248D7F6668}"/>
    <cellStyle name="Comma 448 2 2" xfId="3784" xr:uid="{87CABCAA-77E6-477F-ABEF-10C01026D288}"/>
    <cellStyle name="Comma 448 3" xfId="2754" xr:uid="{4AC60A81-F08C-4F8B-AED1-FA5C753CCE83}"/>
    <cellStyle name="Comma 448 4" xfId="4880" xr:uid="{816AC87B-13EF-4F97-9374-A25738EB5967}"/>
    <cellStyle name="Comma 449" xfId="689" xr:uid="{8C99AEA2-AB21-452F-BA31-D5E4009B859A}"/>
    <cellStyle name="Comma 449 2" xfId="1727" xr:uid="{631F02B3-3A2C-4AB0-9AB3-5B89FE173861}"/>
    <cellStyle name="Comma 449 2 2" xfId="3785" xr:uid="{77DD1F23-7DE5-46D8-ABE4-E5C46D48AA87}"/>
    <cellStyle name="Comma 449 3" xfId="2755" xr:uid="{9435B60E-DCA8-4009-BBA2-3E311DED0EEA}"/>
    <cellStyle name="Comma 449 4" xfId="4881" xr:uid="{EAEE59B3-6DB0-4F56-A14C-8F03F121D6B9}"/>
    <cellStyle name="Comma 45" xfId="245" xr:uid="{1DCF83E2-6542-48ED-A27F-3A709186CE8A}"/>
    <cellStyle name="Comma 45 2" xfId="1323" xr:uid="{49D3FD90-B6BA-4C38-A204-2467B07EAC81}"/>
    <cellStyle name="Comma 45 2 2" xfId="3381" xr:uid="{A2CFC0F6-0AE5-4AED-BE8D-122F10339D37}"/>
    <cellStyle name="Comma 45 3" xfId="2351" xr:uid="{BF13FAC6-E65C-40D5-84E1-CD939504B452}"/>
    <cellStyle name="Comma 45 4" xfId="4477" xr:uid="{6F8F7D29-7D21-46C9-B610-EF5FB3F9CB4F}"/>
    <cellStyle name="Comma 450" xfId="690" xr:uid="{0CA5EEC1-84A7-47C5-80E1-4D2F80CC8F2F}"/>
    <cellStyle name="Comma 450 2" xfId="1728" xr:uid="{1C2548C9-35B1-43B9-8A7A-E4FEABA4FE9B}"/>
    <cellStyle name="Comma 450 2 2" xfId="3786" xr:uid="{1CFE91A8-1DAE-43DE-A085-AEC46A607436}"/>
    <cellStyle name="Comma 450 3" xfId="2756" xr:uid="{A12E672A-2537-4029-A0BE-E1A9AEDDA5EE}"/>
    <cellStyle name="Comma 450 4" xfId="4882" xr:uid="{A5CB7551-45FB-474E-ACE8-C0418274FB66}"/>
    <cellStyle name="Comma 451" xfId="691" xr:uid="{B64FC462-5F00-4ADA-8988-DB5284F6CE99}"/>
    <cellStyle name="Comma 451 2" xfId="1729" xr:uid="{5EE87D94-695F-4D10-B2FC-6535D41B829C}"/>
    <cellStyle name="Comma 451 2 2" xfId="3787" xr:uid="{6FF92401-82C0-4332-B089-4B2DC0AAE994}"/>
    <cellStyle name="Comma 451 3" xfId="2757" xr:uid="{BB763298-86F9-41C7-8454-2EA4D15FAED4}"/>
    <cellStyle name="Comma 451 4" xfId="4883" xr:uid="{12F2FDDE-6508-4B33-AA4E-6D246EC72665}"/>
    <cellStyle name="Comma 452" xfId="692" xr:uid="{8DCA9339-1A6D-45FD-88A6-E3EEBB48B6B6}"/>
    <cellStyle name="Comma 452 2" xfId="1730" xr:uid="{837A3E24-F1B1-47A7-8F58-1894F343506A}"/>
    <cellStyle name="Comma 452 2 2" xfId="3788" xr:uid="{17E539CE-209E-4702-88FC-F1DD21876BA9}"/>
    <cellStyle name="Comma 452 3" xfId="2758" xr:uid="{320D414B-7D08-429F-9B5D-4E0C37359D26}"/>
    <cellStyle name="Comma 452 4" xfId="4884" xr:uid="{06613347-4983-41D9-B24B-22D1A8B85589}"/>
    <cellStyle name="Comma 453" xfId="693" xr:uid="{1FAC5E79-CC39-45CA-87B7-6604EFB819CF}"/>
    <cellStyle name="Comma 453 2" xfId="1731" xr:uid="{71E7F260-D0E7-4612-8F54-E111CAA7CA2D}"/>
    <cellStyle name="Comma 453 2 2" xfId="3789" xr:uid="{A1563A85-DD2C-4664-85B4-814F25A684DB}"/>
    <cellStyle name="Comma 453 3" xfId="2759" xr:uid="{FE2D75D0-8A87-4E68-9CB5-10AA10E0532F}"/>
    <cellStyle name="Comma 453 4" xfId="4885" xr:uid="{9AF9C270-318E-4BF8-8FC8-BD91D2B04D42}"/>
    <cellStyle name="Comma 454" xfId="694" xr:uid="{D80345AA-A9CA-4BC1-A641-D71F6943FBAD}"/>
    <cellStyle name="Comma 454 2" xfId="1732" xr:uid="{4A252477-04B0-4B35-A484-5C0C69A7C8D1}"/>
    <cellStyle name="Comma 454 2 2" xfId="3790" xr:uid="{2E67D660-FD52-4B8A-9E84-B3FECEA4BE75}"/>
    <cellStyle name="Comma 454 3" xfId="2760" xr:uid="{290BDCB3-5EC5-4FBF-A292-CDE3EED4FB04}"/>
    <cellStyle name="Comma 454 4" xfId="4886" xr:uid="{E9AC520D-7660-46FC-927C-0BFA9B332480}"/>
    <cellStyle name="Comma 455" xfId="695" xr:uid="{EE6F83CD-8B84-40F2-9DF9-0EF1680BA097}"/>
    <cellStyle name="Comma 455 2" xfId="1733" xr:uid="{43778280-9C3E-4B1A-AC09-A704258C38AC}"/>
    <cellStyle name="Comma 455 2 2" xfId="3791" xr:uid="{500B2646-20F1-4454-8F55-2BF95930E8C9}"/>
    <cellStyle name="Comma 455 3" xfId="2761" xr:uid="{61D742E7-3A82-49B7-8EA3-E0C1C3A34573}"/>
    <cellStyle name="Comma 455 4" xfId="4887" xr:uid="{4A2E1285-44D0-45FD-B3B6-E421FC735D4F}"/>
    <cellStyle name="Comma 456" xfId="696" xr:uid="{077E7F96-A4DD-4148-951D-43DA3EBD49AC}"/>
    <cellStyle name="Comma 456 2" xfId="1734" xr:uid="{A48CAD8E-B832-4ADA-B184-458AD6DAE9F0}"/>
    <cellStyle name="Comma 456 2 2" xfId="3792" xr:uid="{1E877F23-5E22-4D96-A229-C78943E1AA90}"/>
    <cellStyle name="Comma 456 3" xfId="2762" xr:uid="{BCE0EC88-ACDC-4AE0-8B61-FC72475FB958}"/>
    <cellStyle name="Comma 456 4" xfId="4888" xr:uid="{408B726B-C9B3-42CA-BA7B-A55538A821A4}"/>
    <cellStyle name="Comma 457" xfId="697" xr:uid="{F046B432-CE6D-436E-B9D7-92217FB62ABC}"/>
    <cellStyle name="Comma 457 2" xfId="1735" xr:uid="{029B9E41-0EB4-4AE0-8BE6-E866F87DF44F}"/>
    <cellStyle name="Comma 457 2 2" xfId="3793" xr:uid="{2C9FFA33-9241-4E56-B777-73B07B55C503}"/>
    <cellStyle name="Comma 457 3" xfId="2763" xr:uid="{925696C2-AC56-4D3A-8F3A-57F5CA7634FB}"/>
    <cellStyle name="Comma 457 4" xfId="4889" xr:uid="{10D7CF99-4B2F-4F5D-B38A-A99718ECE49C}"/>
    <cellStyle name="Comma 458" xfId="698" xr:uid="{0A3975D3-91D9-4127-BA8D-5968A7A49017}"/>
    <cellStyle name="Comma 458 2" xfId="1736" xr:uid="{B34CEF9F-FD7B-410D-B81D-E086DFFDE0A5}"/>
    <cellStyle name="Comma 458 2 2" xfId="3794" xr:uid="{F999D447-A2E9-413D-BF09-5B617AE362EC}"/>
    <cellStyle name="Comma 458 3" xfId="2764" xr:uid="{67EC6E9E-A5AA-4C89-B824-1CF8CF1BBEDC}"/>
    <cellStyle name="Comma 458 4" xfId="4890" xr:uid="{9CF892CB-112B-4C4E-9923-CF6D150B782B}"/>
    <cellStyle name="Comma 459" xfId="699" xr:uid="{A1AEBFFE-E4DB-4450-B47A-64131E0AB43C}"/>
    <cellStyle name="Comma 459 2" xfId="1737" xr:uid="{E1A13EEB-6EEE-4D74-B6B5-209610090EFC}"/>
    <cellStyle name="Comma 459 2 2" xfId="3795" xr:uid="{3F65E5A7-AB40-4AD3-A0DF-FDD052440E0F}"/>
    <cellStyle name="Comma 459 3" xfId="2765" xr:uid="{D19243F2-261B-481D-B39D-77DE12FC4969}"/>
    <cellStyle name="Comma 459 4" xfId="4891" xr:uid="{31EA6D3A-B4E8-4D9E-AC39-CCAC3931F614}"/>
    <cellStyle name="Comma 46" xfId="246" xr:uid="{5CF23571-ED63-4AD2-8628-3DAB79978111}"/>
    <cellStyle name="Comma 46 2" xfId="1324" xr:uid="{DE34FFB8-9C9D-404E-B2B5-89248CD39F31}"/>
    <cellStyle name="Comma 46 2 2" xfId="3382" xr:uid="{EF07D500-D7BD-411C-B0CD-A881F9219159}"/>
    <cellStyle name="Comma 46 3" xfId="2352" xr:uid="{FD7DB33D-51D8-4D9B-A224-DE8BF7180761}"/>
    <cellStyle name="Comma 46 4" xfId="4478" xr:uid="{5BC89529-7E82-41E6-96BF-77B6F40B58F9}"/>
    <cellStyle name="Comma 460" xfId="700" xr:uid="{E0A63372-020A-4F8B-8214-F96FED86AF34}"/>
    <cellStyle name="Comma 460 2" xfId="1738" xr:uid="{802785CB-EB63-4E56-B931-3F00BC9CAC2E}"/>
    <cellStyle name="Comma 460 2 2" xfId="3796" xr:uid="{4DBBA11A-54BB-4923-9014-9611DD025F8F}"/>
    <cellStyle name="Comma 460 3" xfId="2766" xr:uid="{3BAFB7F3-5233-4DC6-9DAD-594801B7C488}"/>
    <cellStyle name="Comma 460 4" xfId="4892" xr:uid="{CC0D3A06-2F91-49FD-8FEE-4F692D58A659}"/>
    <cellStyle name="Comma 461" xfId="701" xr:uid="{7DEA925C-9EAB-443A-9636-FDE5BCE4F7E6}"/>
    <cellStyle name="Comma 461 2" xfId="1739" xr:uid="{D53505EB-F2E1-4B90-BA39-8E424A907C29}"/>
    <cellStyle name="Comma 461 2 2" xfId="3797" xr:uid="{423C65D7-2FAB-4CE8-81BB-F48B1B94626D}"/>
    <cellStyle name="Comma 461 3" xfId="2767" xr:uid="{93C0CC17-8774-48E7-B342-87D0C7DB89EB}"/>
    <cellStyle name="Comma 461 4" xfId="4893" xr:uid="{60B622ED-3E86-478D-AB6B-9295443D4477}"/>
    <cellStyle name="Comma 462" xfId="702" xr:uid="{FCD5744E-7F73-4657-9068-0630FD302808}"/>
    <cellStyle name="Comma 462 2" xfId="1740" xr:uid="{419DA772-C2A9-4281-B0E1-DB904582A862}"/>
    <cellStyle name="Comma 462 2 2" xfId="3798" xr:uid="{04C00963-21C2-4D69-BF42-61C50200A076}"/>
    <cellStyle name="Comma 462 3" xfId="2768" xr:uid="{97286EC8-356F-4F60-B27B-68E527E5BE8D}"/>
    <cellStyle name="Comma 462 4" xfId="4894" xr:uid="{F0035297-4E18-4FAC-B994-78B3715726F1}"/>
    <cellStyle name="Comma 463" xfId="703" xr:uid="{E18C2E9E-76EB-4E6A-94C1-AC88C0A80F90}"/>
    <cellStyle name="Comma 463 2" xfId="1741" xr:uid="{838A0C21-E774-4A67-800F-B5F7182A0EF6}"/>
    <cellStyle name="Comma 463 2 2" xfId="3799" xr:uid="{54F90AD8-190B-413F-94AD-1A9A9CD53657}"/>
    <cellStyle name="Comma 463 3" xfId="2769" xr:uid="{F9C10ACC-4692-4B08-B59A-14E7437255DF}"/>
    <cellStyle name="Comma 463 4" xfId="4895" xr:uid="{9ADB5AFE-748B-4674-A916-336D64FBCB00}"/>
    <cellStyle name="Comma 464" xfId="704" xr:uid="{BDD2B47C-4BDE-406C-ABD1-5A822B99777A}"/>
    <cellStyle name="Comma 464 2" xfId="1742" xr:uid="{57DFAE2A-62F6-4BF5-A370-1BD4B5EBC44F}"/>
    <cellStyle name="Comma 464 2 2" xfId="3800" xr:uid="{74EDC601-C9D7-4BD2-ADCC-8AF4D1268466}"/>
    <cellStyle name="Comma 464 3" xfId="2770" xr:uid="{50E274D6-D2ED-4037-B27B-C0A8056C1231}"/>
    <cellStyle name="Comma 464 4" xfId="4896" xr:uid="{E823BF58-192F-4FC9-BA4B-9DCF36AAC11B}"/>
    <cellStyle name="Comma 465" xfId="705" xr:uid="{2241BB27-563E-4AF2-9C04-AEB2C024C00B}"/>
    <cellStyle name="Comma 465 2" xfId="1743" xr:uid="{009042D5-2E8C-4F16-ABD3-933AE4CBEF2E}"/>
    <cellStyle name="Comma 465 2 2" xfId="3801" xr:uid="{594A7817-67E5-420D-A4E0-A06CD0D79CE4}"/>
    <cellStyle name="Comma 465 3" xfId="2771" xr:uid="{F3BB50DD-095A-4355-A620-C4654A6B150F}"/>
    <cellStyle name="Comma 465 4" xfId="4897" xr:uid="{5EFA538C-BA57-4ED8-ABAC-353A90D86706}"/>
    <cellStyle name="Comma 466" xfId="706" xr:uid="{98CB6A8D-72C6-4E62-9114-9C12E5C05D79}"/>
    <cellStyle name="Comma 466 2" xfId="1744" xr:uid="{27C0585B-A128-44B5-A2A4-7AA31165D945}"/>
    <cellStyle name="Comma 466 2 2" xfId="3802" xr:uid="{538F5AF8-4C6A-4B00-B6B3-4AD55FD645E2}"/>
    <cellStyle name="Comma 466 3" xfId="2772" xr:uid="{686EAC76-4547-4F33-91B1-2790AE9A9531}"/>
    <cellStyle name="Comma 466 4" xfId="4898" xr:uid="{29C5934C-D8A5-4944-BD3A-D5016BA59A0A}"/>
    <cellStyle name="Comma 467" xfId="707" xr:uid="{71CD3523-BC04-4C81-97D1-002ACCB0A1C1}"/>
    <cellStyle name="Comma 467 2" xfId="1745" xr:uid="{626E1F16-6F85-418A-B6DD-5BB8E0A3A951}"/>
    <cellStyle name="Comma 467 2 2" xfId="3803" xr:uid="{69B2F710-2CFB-4AE9-8525-7159DE8DE233}"/>
    <cellStyle name="Comma 467 3" xfId="2773" xr:uid="{14D512EA-48CA-4BD7-B783-BF4FC0BABC5E}"/>
    <cellStyle name="Comma 467 4" xfId="4899" xr:uid="{3E14E167-50B4-4353-AC9B-61CF1557BA20}"/>
    <cellStyle name="Comma 468" xfId="708" xr:uid="{F93601FC-A281-4A73-AB0E-C93F67F778AC}"/>
    <cellStyle name="Comma 468 2" xfId="1746" xr:uid="{6FB26AB6-7E5A-45C3-903D-E7A28576E2F9}"/>
    <cellStyle name="Comma 468 2 2" xfId="3804" xr:uid="{88C84D1A-5BFC-4815-8A00-7CA4ECAB64B9}"/>
    <cellStyle name="Comma 468 3" xfId="2774" xr:uid="{B5CAE71D-9C3B-43F2-B80E-2FB91C411584}"/>
    <cellStyle name="Comma 468 4" xfId="4900" xr:uid="{6B5CF332-B587-4154-BE0C-43664D737A43}"/>
    <cellStyle name="Comma 469" xfId="709" xr:uid="{53ED6CCB-6FBB-4934-8502-930736B4600D}"/>
    <cellStyle name="Comma 469 2" xfId="1747" xr:uid="{68D4FD0A-A4E3-44A9-93DA-F8E47EA6745A}"/>
    <cellStyle name="Comma 469 2 2" xfId="3805" xr:uid="{91115453-C89F-403F-9AA0-10BE5FAD8194}"/>
    <cellStyle name="Comma 469 3" xfId="2775" xr:uid="{B9EBAA48-540E-4697-88C9-2F8D47C063E7}"/>
    <cellStyle name="Comma 469 4" xfId="4901" xr:uid="{6EFD5CE8-45BD-4132-9727-FB81DF11D432}"/>
    <cellStyle name="Comma 47" xfId="247" xr:uid="{B188F78C-0DA6-4D63-9577-B1FAB9D79F39}"/>
    <cellStyle name="Comma 47 2" xfId="1325" xr:uid="{73E27A7F-9328-4DA0-8B1A-F0CB87B0A747}"/>
    <cellStyle name="Comma 47 2 2" xfId="3383" xr:uid="{88D4A0E6-A426-4301-BCCD-BF6788364C14}"/>
    <cellStyle name="Comma 47 3" xfId="2353" xr:uid="{0CFA1EED-936A-4335-94E1-A748E60BB1E3}"/>
    <cellStyle name="Comma 47 4" xfId="4479" xr:uid="{C66C2B04-8C07-4639-84F7-633F624C066C}"/>
    <cellStyle name="Comma 470" xfId="710" xr:uid="{ACA19C4A-8749-47B2-B32D-5ED20542A335}"/>
    <cellStyle name="Comma 470 2" xfId="1748" xr:uid="{AB344754-C84B-4641-BAD1-9787EEE739EC}"/>
    <cellStyle name="Comma 470 2 2" xfId="3806" xr:uid="{B3D1A234-7EAC-47D2-9A1E-477AFF13F25B}"/>
    <cellStyle name="Comma 470 3" xfId="2776" xr:uid="{FFE2DE70-1FB2-479E-9164-18A9B959229E}"/>
    <cellStyle name="Comma 470 4" xfId="4902" xr:uid="{B534A7E3-7254-46D6-8248-F20BACE5F0DF}"/>
    <cellStyle name="Comma 471" xfId="711" xr:uid="{16470A60-A991-49A2-B036-89BDE5040FDF}"/>
    <cellStyle name="Comma 471 2" xfId="1749" xr:uid="{19C90402-7B7F-45A8-90CF-52F7CA8236D3}"/>
    <cellStyle name="Comma 471 2 2" xfId="3807" xr:uid="{62B2FA17-3367-4183-8808-5C12DEC94BDE}"/>
    <cellStyle name="Comma 471 3" xfId="2777" xr:uid="{104566BC-FFD8-4F54-8CEC-FA8017B9DEBB}"/>
    <cellStyle name="Comma 471 4" xfId="4903" xr:uid="{C7109537-1DC7-4771-AB68-3F4C123FDBFA}"/>
    <cellStyle name="Comma 472" xfId="712" xr:uid="{6E784FF1-4137-452B-9F41-EC328923FE2E}"/>
    <cellStyle name="Comma 472 2" xfId="1750" xr:uid="{9D338D46-A686-4626-B569-7E77B80F83EE}"/>
    <cellStyle name="Comma 472 2 2" xfId="3808" xr:uid="{64031A05-D511-42BD-8924-2F44071B2997}"/>
    <cellStyle name="Comma 472 3" xfId="2778" xr:uid="{20E48395-D5AB-4E24-BCDA-4C95628621EF}"/>
    <cellStyle name="Comma 472 4" xfId="4904" xr:uid="{45CFDF8F-5C21-4E5D-A5F9-1C637DD0F297}"/>
    <cellStyle name="Comma 473" xfId="713" xr:uid="{066B6842-9B05-4BC3-A856-68ACA0EA86D9}"/>
    <cellStyle name="Comma 473 2" xfId="1751" xr:uid="{FCB9A159-825C-4553-A1BB-13B09E00701B}"/>
    <cellStyle name="Comma 473 2 2" xfId="3809" xr:uid="{94E06B21-1543-42B6-85A8-85187A3064C4}"/>
    <cellStyle name="Comma 473 3" xfId="2779" xr:uid="{48B24CAF-85CD-46ED-9B99-7D20EED69037}"/>
    <cellStyle name="Comma 473 4" xfId="4905" xr:uid="{263F0663-FBD3-46D3-B147-47186F20C08E}"/>
    <cellStyle name="Comma 474" xfId="714" xr:uid="{8CCA7546-7802-4DF8-AB01-E2D478B322E9}"/>
    <cellStyle name="Comma 474 2" xfId="1752" xr:uid="{CCB1694B-B57F-403E-9360-4E555D40F02C}"/>
    <cellStyle name="Comma 474 2 2" xfId="3810" xr:uid="{BA107752-5002-459F-86FF-94456857210D}"/>
    <cellStyle name="Comma 474 3" xfId="2780" xr:uid="{901FE9C1-9062-43B1-90EB-1E8131DC7E2A}"/>
    <cellStyle name="Comma 474 4" xfId="4906" xr:uid="{437A55B3-6891-429E-BAD3-E677853C2BA3}"/>
    <cellStyle name="Comma 475" xfId="715" xr:uid="{7F82BC8F-5BB0-4757-91A0-314E339B7946}"/>
    <cellStyle name="Comma 475 2" xfId="1753" xr:uid="{DB382C43-89E6-4C64-B28C-EACE4E53CFE8}"/>
    <cellStyle name="Comma 475 2 2" xfId="3811" xr:uid="{BF83A7D6-0475-4B6B-A01E-0365DFB7700D}"/>
    <cellStyle name="Comma 475 3" xfId="2781" xr:uid="{7037A583-893F-4421-AB0F-70756A03FEF4}"/>
    <cellStyle name="Comma 475 4" xfId="4907" xr:uid="{2B74D6D4-E5D7-4929-AEA3-E987D6C93F1C}"/>
    <cellStyle name="Comma 476" xfId="716" xr:uid="{E30A397C-2971-4216-9A4F-6E781A20F56B}"/>
    <cellStyle name="Comma 476 2" xfId="1754" xr:uid="{8E95B92E-537B-4CA1-AC61-0F65E98BC613}"/>
    <cellStyle name="Comma 476 2 2" xfId="3812" xr:uid="{6ABC471D-A4F9-4D63-BFDA-EB6003205944}"/>
    <cellStyle name="Comma 476 3" xfId="2782" xr:uid="{CB5A9706-E991-4E77-98DA-88FE381070E3}"/>
    <cellStyle name="Comma 476 4" xfId="4908" xr:uid="{40A07CF7-7434-4F94-8B1B-D0737EFDFA02}"/>
    <cellStyle name="Comma 477" xfId="717" xr:uid="{330CF5D0-EC0B-4BD3-98F0-EE552436A721}"/>
    <cellStyle name="Comma 477 2" xfId="1755" xr:uid="{6C64614E-644B-47AB-B448-BA8D5C87FF6F}"/>
    <cellStyle name="Comma 477 2 2" xfId="3813" xr:uid="{35BBAD21-289B-4F28-BA31-75E371D5F040}"/>
    <cellStyle name="Comma 477 3" xfId="2783" xr:uid="{578AD9C2-32E3-4A1F-8F8F-C84ADF7B2A95}"/>
    <cellStyle name="Comma 477 4" xfId="4909" xr:uid="{F0DB0016-45F5-40A8-9F58-F6A118DCB5B6}"/>
    <cellStyle name="Comma 478" xfId="718" xr:uid="{F81CB4FD-869B-4B01-9EAC-7C3EDCA05E0F}"/>
    <cellStyle name="Comma 478 2" xfId="1756" xr:uid="{94DE3003-F14D-4E7C-AB0A-FB0668E949B4}"/>
    <cellStyle name="Comma 478 2 2" xfId="3814" xr:uid="{A821D2D0-CB5C-480F-834A-758DB507D159}"/>
    <cellStyle name="Comma 478 3" xfId="2784" xr:uid="{10137478-F2F2-49F7-9E25-6B88DAC3B9D9}"/>
    <cellStyle name="Comma 478 4" xfId="4910" xr:uid="{E0100B70-AADC-44C3-B7E6-F5315BE2E8D9}"/>
    <cellStyle name="Comma 479" xfId="719" xr:uid="{A8B83756-BB0B-4370-9F56-30968FD03F95}"/>
    <cellStyle name="Comma 479 2" xfId="1757" xr:uid="{7B65B056-7E54-4934-B976-7CE4B21F8168}"/>
    <cellStyle name="Comma 479 2 2" xfId="3815" xr:uid="{AC405FFF-9252-474E-B545-544C0505CFE1}"/>
    <cellStyle name="Comma 479 3" xfId="2785" xr:uid="{E104E4AB-F638-4FE9-9916-9D697E05420B}"/>
    <cellStyle name="Comma 479 4" xfId="4911" xr:uid="{8190CE7F-4BFF-4DAB-A075-591BB64EC2A9}"/>
    <cellStyle name="Comma 48" xfId="248" xr:uid="{9FE51A52-7452-4BD8-9FF3-EF2247DDFEFC}"/>
    <cellStyle name="Comma 48 2" xfId="1326" xr:uid="{2DD3CCC2-B368-487E-9238-E5BEFC0A778B}"/>
    <cellStyle name="Comma 48 2 2" xfId="3384" xr:uid="{8DFD67C2-1993-41B0-A6C0-08FCEDF65E07}"/>
    <cellStyle name="Comma 48 3" xfId="2354" xr:uid="{B6E38A75-DB2F-4A5C-A80F-CDC35FDE0D2C}"/>
    <cellStyle name="Comma 48 4" xfId="4480" xr:uid="{B6B4A2B3-7343-4B86-8C8F-77056176605F}"/>
    <cellStyle name="Comma 480" xfId="720" xr:uid="{AA7B1344-3005-4C6F-94A0-64707FFE8C7E}"/>
    <cellStyle name="Comma 480 2" xfId="1758" xr:uid="{10A6A886-6EFC-4F4A-90E9-96A34BBBDB62}"/>
    <cellStyle name="Comma 480 2 2" xfId="3816" xr:uid="{A8AFAA4D-1AEB-4E41-9CAB-428B467E786E}"/>
    <cellStyle name="Comma 480 3" xfId="2786" xr:uid="{51FCBD1E-ACBD-44D8-B1C2-9869C7745F33}"/>
    <cellStyle name="Comma 480 4" xfId="4912" xr:uid="{0948DCE2-77A9-4483-A622-0BA127A6748C}"/>
    <cellStyle name="Comma 481" xfId="721" xr:uid="{137858AD-877A-4472-8F77-479A542C81C9}"/>
    <cellStyle name="Comma 481 2" xfId="1759" xr:uid="{9AC09DC0-8114-4ABD-8A30-1A32406DFBB7}"/>
    <cellStyle name="Comma 481 2 2" xfId="3817" xr:uid="{2E680BF3-7A49-467A-BA4B-FC93CFB30990}"/>
    <cellStyle name="Comma 481 3" xfId="2787" xr:uid="{7D0328E3-0B90-4191-8997-E4CAEF8AC048}"/>
    <cellStyle name="Comma 481 4" xfId="4913" xr:uid="{523A5FC9-FF9F-4360-9F32-F0CD669AECFF}"/>
    <cellStyle name="Comma 482" xfId="722" xr:uid="{A734491B-0FED-4B0C-B72F-E1B220526066}"/>
    <cellStyle name="Comma 482 2" xfId="1760" xr:uid="{4EA8D925-FDBD-4D1B-ACAA-F98A16ED5A83}"/>
    <cellStyle name="Comma 482 2 2" xfId="3818" xr:uid="{48842C0D-BB13-4B73-9159-C4550E7AA38A}"/>
    <cellStyle name="Comma 482 3" xfId="2788" xr:uid="{83D46FFA-D191-4F4D-AF13-64A403255276}"/>
    <cellStyle name="Comma 482 4" xfId="4914" xr:uid="{00413711-FB94-48AF-8D2B-F7CED6041980}"/>
    <cellStyle name="Comma 483" xfId="723" xr:uid="{B1841D22-8475-44EA-889A-FB3A8E243113}"/>
    <cellStyle name="Comma 483 2" xfId="1761" xr:uid="{40FFD842-1850-48AA-9B37-A6C857ED7D5F}"/>
    <cellStyle name="Comma 483 2 2" xfId="3819" xr:uid="{47C96D74-33E0-4FFD-B391-F64C4D1D7BD2}"/>
    <cellStyle name="Comma 483 3" xfId="2789" xr:uid="{71C182E3-48D4-4673-9AD9-76C482D9A341}"/>
    <cellStyle name="Comma 483 4" xfId="4915" xr:uid="{DFDE3CE3-6C71-4DF0-A7CE-B4750F330954}"/>
    <cellStyle name="Comma 484" xfId="724" xr:uid="{DDEDBA5C-D8E2-4C00-A2AE-8279ED9E421C}"/>
    <cellStyle name="Comma 484 2" xfId="1762" xr:uid="{3DAC7A78-BA82-4D40-B974-87A8D6C8C852}"/>
    <cellStyle name="Comma 484 2 2" xfId="3820" xr:uid="{DD3D9CFB-36E0-44C1-94C7-1B4BD6A94BFD}"/>
    <cellStyle name="Comma 484 3" xfId="2790" xr:uid="{B928988E-A587-4053-B32D-3EA5A7CD674B}"/>
    <cellStyle name="Comma 484 4" xfId="4916" xr:uid="{D2FC28CF-8201-4F10-A3AB-356C6A83C67F}"/>
    <cellStyle name="Comma 485" xfId="725" xr:uid="{011F4347-3AA5-4A5D-8608-17397C63E344}"/>
    <cellStyle name="Comma 485 2" xfId="1763" xr:uid="{64A76AC3-6731-42EA-B9AA-559696E0C4DC}"/>
    <cellStyle name="Comma 485 2 2" xfId="3821" xr:uid="{D3BFCDF9-E8AA-48C6-8A49-179411067D32}"/>
    <cellStyle name="Comma 485 3" xfId="2791" xr:uid="{112DE888-BFCC-4EE8-AA88-1ACD427B78A6}"/>
    <cellStyle name="Comma 485 4" xfId="4917" xr:uid="{56412F83-053C-49E3-83F6-34C3C12D6917}"/>
    <cellStyle name="Comma 486" xfId="726" xr:uid="{D9E1760C-55D8-4F15-9F0A-20CD669D2343}"/>
    <cellStyle name="Comma 486 2" xfId="1764" xr:uid="{E3B8571F-A280-4B69-A806-EAC658A4D93F}"/>
    <cellStyle name="Comma 486 2 2" xfId="3822" xr:uid="{7D222995-D5FA-49A5-BF61-0F0FA1A4F077}"/>
    <cellStyle name="Comma 486 3" xfId="2792" xr:uid="{06BCD601-B096-4140-87E4-C62D0D6D293E}"/>
    <cellStyle name="Comma 486 4" xfId="4918" xr:uid="{9762B220-4907-480C-BACF-A599BDA65007}"/>
    <cellStyle name="Comma 487" xfId="727" xr:uid="{FB7FCF81-BB28-46A3-9A1E-F4DED6FE220A}"/>
    <cellStyle name="Comma 487 2" xfId="1765" xr:uid="{A0895F88-5916-4F5B-A837-3B00BE545B4D}"/>
    <cellStyle name="Comma 487 2 2" xfId="3823" xr:uid="{267CF45B-E73C-4946-AB59-753A81FCAE8F}"/>
    <cellStyle name="Comma 487 3" xfId="2793" xr:uid="{496FC4AC-0785-49EF-826D-3E0B128BB93C}"/>
    <cellStyle name="Comma 487 4" xfId="4919" xr:uid="{4ECD40C1-EEB8-4808-B036-B4C87B8A19DC}"/>
    <cellStyle name="Comma 488" xfId="728" xr:uid="{DC2E3503-DBB5-40EF-861C-98024431220B}"/>
    <cellStyle name="Comma 488 2" xfId="1766" xr:uid="{F130D598-D1D0-42BE-A34F-C7F8CF5D21D8}"/>
    <cellStyle name="Comma 488 2 2" xfId="3824" xr:uid="{8C7882B5-3CDC-41DA-9FAD-DB4598222FD0}"/>
    <cellStyle name="Comma 488 3" xfId="2794" xr:uid="{4B39AEF5-2844-4B32-828D-EC17F3BABCCA}"/>
    <cellStyle name="Comma 488 4" xfId="4920" xr:uid="{36FE423D-C941-4A14-83DA-34745AB3FE75}"/>
    <cellStyle name="Comma 489" xfId="729" xr:uid="{709412D3-E3DD-4BD6-8378-8BD2030EE441}"/>
    <cellStyle name="Comma 489 2" xfId="1767" xr:uid="{6D0937B0-3697-45F7-BEEF-BE76F1BE5B7B}"/>
    <cellStyle name="Comma 489 2 2" xfId="3825" xr:uid="{58E8D0DB-B40B-4175-B9F7-0D56175B89B7}"/>
    <cellStyle name="Comma 489 3" xfId="2795" xr:uid="{75D503F5-CD5F-4DC7-B52A-D32D5305380F}"/>
    <cellStyle name="Comma 489 4" xfId="4921" xr:uid="{6305B41B-9DC4-448A-811E-FB396E9160AC}"/>
    <cellStyle name="Comma 49" xfId="249" xr:uid="{B5A4F873-AC2A-45BA-AC8C-F5BC460A944B}"/>
    <cellStyle name="Comma 49 2" xfId="1327" xr:uid="{C6BC603F-31F1-48F4-8966-7C8713788662}"/>
    <cellStyle name="Comma 49 2 2" xfId="3385" xr:uid="{2924086A-1707-4B3F-918C-7CE759193A05}"/>
    <cellStyle name="Comma 49 3" xfId="2355" xr:uid="{227DDF45-894B-4EB2-9A32-8D178B69E398}"/>
    <cellStyle name="Comma 49 4" xfId="4481" xr:uid="{27C63192-E30B-489A-BF11-DDB2FE99AA4F}"/>
    <cellStyle name="Comma 490" xfId="730" xr:uid="{B35E7DBC-091C-48ED-983C-BCB22F9743C6}"/>
    <cellStyle name="Comma 490 2" xfId="1768" xr:uid="{3719E061-485D-4A3E-BB0B-44429C0DA505}"/>
    <cellStyle name="Comma 490 2 2" xfId="3826" xr:uid="{D080DC87-9A91-4FAD-A08A-B9B19125FE06}"/>
    <cellStyle name="Comma 490 3" xfId="2796" xr:uid="{A225A3E0-987B-42B6-88FB-B9C25EDDB65C}"/>
    <cellStyle name="Comma 490 4" xfId="4922" xr:uid="{4337FA18-D913-409F-A5C4-905110AA63B9}"/>
    <cellStyle name="Comma 491" xfId="731" xr:uid="{DEF84272-30B2-4002-8D98-3D23CF2077C8}"/>
    <cellStyle name="Comma 491 2" xfId="1769" xr:uid="{BD30071C-28B7-4D4C-A629-B2BFACCDB80C}"/>
    <cellStyle name="Comma 491 2 2" xfId="3827" xr:uid="{6758448F-1D4F-4200-9C59-7738EC35A73C}"/>
    <cellStyle name="Comma 491 3" xfId="2797" xr:uid="{CDF8C776-790F-4979-9009-19085ADE69CD}"/>
    <cellStyle name="Comma 491 4" xfId="4923" xr:uid="{CAFEEAA7-8D7A-49D6-A818-C5C3E665D922}"/>
    <cellStyle name="Comma 492" xfId="732" xr:uid="{47408C5D-EDF2-4B69-805B-0F60BB86167F}"/>
    <cellStyle name="Comma 492 2" xfId="1770" xr:uid="{91D66066-F232-490E-933C-1F29A666E62F}"/>
    <cellStyle name="Comma 492 2 2" xfId="3828" xr:uid="{E37748C8-D581-4A72-B516-C587FEABAD85}"/>
    <cellStyle name="Comma 492 3" xfId="2798" xr:uid="{ECD8CDD9-7766-4F47-8D77-8EAB28131845}"/>
    <cellStyle name="Comma 492 4" xfId="4924" xr:uid="{B0965256-C407-48A8-A6EF-9A4C5606A293}"/>
    <cellStyle name="Comma 493" xfId="733" xr:uid="{D965A2D1-774A-4D5B-908E-804BC352EFC6}"/>
    <cellStyle name="Comma 493 2" xfId="1771" xr:uid="{A23C6B7C-ED57-4114-9091-C4E0B982F868}"/>
    <cellStyle name="Comma 493 2 2" xfId="3829" xr:uid="{D94C0579-7490-4CAD-90AE-1B0886CABC59}"/>
    <cellStyle name="Comma 493 3" xfId="2799" xr:uid="{19D87F4F-5289-4952-B3BB-41539F6FF6F7}"/>
    <cellStyle name="Comma 493 4" xfId="4925" xr:uid="{B0DCA790-C08C-4112-A0BA-D12351841894}"/>
    <cellStyle name="Comma 494" xfId="734" xr:uid="{DBBA8CEF-067C-46D5-9DF7-EE7D49E02F7E}"/>
    <cellStyle name="Comma 494 2" xfId="1772" xr:uid="{0258F462-7AA4-4543-BF4C-2310F4FCB773}"/>
    <cellStyle name="Comma 494 2 2" xfId="3830" xr:uid="{E8E25E13-C467-481C-A229-09A287F8F176}"/>
    <cellStyle name="Comma 494 3" xfId="2800" xr:uid="{7CF06F3A-9CFA-4FD1-BCB8-989A8208441E}"/>
    <cellStyle name="Comma 494 4" xfId="4926" xr:uid="{AAA6FE48-3F7D-4232-9C97-45B97477B95C}"/>
    <cellStyle name="Comma 495" xfId="735" xr:uid="{2559CE74-1D20-4925-A5B3-A84BBF7070D0}"/>
    <cellStyle name="Comma 495 2" xfId="1773" xr:uid="{E4A75036-0074-4DED-988A-2E8ED4BA64CB}"/>
    <cellStyle name="Comma 495 2 2" xfId="3831" xr:uid="{42BE56E5-7C2B-4F0A-8220-3BB09D68D58F}"/>
    <cellStyle name="Comma 495 3" xfId="2801" xr:uid="{AB290F38-E6BA-43BC-8EAD-B76ACF4A4314}"/>
    <cellStyle name="Comma 495 4" xfId="4927" xr:uid="{145B9F48-3C51-4CD2-A4A7-A2E566D8C76E}"/>
    <cellStyle name="Comma 496" xfId="736" xr:uid="{C749E4FC-28DD-4FF2-A0AF-F3EA6944CCC8}"/>
    <cellStyle name="Comma 496 2" xfId="1774" xr:uid="{9EEA190B-6667-46B7-B5E2-08401C21557D}"/>
    <cellStyle name="Comma 496 2 2" xfId="3832" xr:uid="{9CA81B16-76E7-4479-BFB7-F937E2657548}"/>
    <cellStyle name="Comma 496 3" xfId="2802" xr:uid="{CF067056-FF91-4EA3-8C09-B358B921A098}"/>
    <cellStyle name="Comma 496 4" xfId="4928" xr:uid="{9FA51A44-BCA2-4C9E-9E14-E851246FEE8C}"/>
    <cellStyle name="Comma 497" xfId="737" xr:uid="{2A279F8B-181E-4140-AA70-66C5C993A5BC}"/>
    <cellStyle name="Comma 497 2" xfId="1775" xr:uid="{8D72D728-2C3F-44D3-B123-BFBA3E09F46E}"/>
    <cellStyle name="Comma 497 2 2" xfId="3833" xr:uid="{0686FB50-2253-43C9-B049-9D29E66CF26F}"/>
    <cellStyle name="Comma 497 3" xfId="2803" xr:uid="{603AEB8A-E24B-45DC-955F-F3430CAB7570}"/>
    <cellStyle name="Comma 497 4" xfId="4929" xr:uid="{639B8558-1ED1-44D6-A432-F9CF04938E92}"/>
    <cellStyle name="Comma 498" xfId="738" xr:uid="{AE7D3FD1-28D7-41ED-A723-3E6E66A6D168}"/>
    <cellStyle name="Comma 498 2" xfId="1776" xr:uid="{AFC34375-CBA8-4B9D-B650-058ABEFFA282}"/>
    <cellStyle name="Comma 498 2 2" xfId="3834" xr:uid="{20ABF881-493E-4109-98EC-C00D1EE80078}"/>
    <cellStyle name="Comma 498 3" xfId="2804" xr:uid="{D4D19EB7-8C67-4ED0-9923-2CEB63ED0923}"/>
    <cellStyle name="Comma 498 4" xfId="4930" xr:uid="{F6197492-0B4C-4115-9D6F-F801327DA65D}"/>
    <cellStyle name="Comma 499" xfId="739" xr:uid="{CAB434FA-0524-4C09-96AB-288398672EE2}"/>
    <cellStyle name="Comma 499 2" xfId="1777" xr:uid="{3C5D359B-8883-4ED5-8161-7CAE8EBE3FB2}"/>
    <cellStyle name="Comma 499 2 2" xfId="3835" xr:uid="{71DE312F-F011-4BAC-A65B-9EA6971FB29B}"/>
    <cellStyle name="Comma 499 3" xfId="2805" xr:uid="{1FBE9BE2-7622-44D7-B4FC-4AABE2CB7688}"/>
    <cellStyle name="Comma 499 4" xfId="4931" xr:uid="{296D776D-660B-44E1-A871-8BB038939757}"/>
    <cellStyle name="Comma 5" xfId="75" xr:uid="{E8A7C981-0E1B-4846-AC2F-C680BF2C17BF}"/>
    <cellStyle name="Comma 5 2" xfId="231" xr:uid="{AFCB23E2-E4CD-413A-A3D2-CFC88FBAF8CA}"/>
    <cellStyle name="Comma 5 2 2" xfId="1310" xr:uid="{0EAB68A0-572F-4FB9-9735-1767736C75E9}"/>
    <cellStyle name="Comma 5 2 2 2" xfId="3368" xr:uid="{2B813D2C-6AFB-4985-BA1B-7ADDBEC979F9}"/>
    <cellStyle name="Comma 5 2 3" xfId="2338" xr:uid="{23631C17-62AC-485F-ABD8-B333E521FA26}"/>
    <cellStyle name="Comma 5 2 4" xfId="4464" xr:uid="{C573470F-E187-48FB-9CE6-0504BAAD77EE}"/>
    <cellStyle name="Comma 5 3" xfId="1281" xr:uid="{FA48357D-14F3-46D5-AE81-CC995FF0E03F}"/>
    <cellStyle name="Comma 5 3 2" xfId="3339" xr:uid="{75D9D60A-0084-4FA8-B6D8-20E81570D98C}"/>
    <cellStyle name="Comma 5 4" xfId="2309" xr:uid="{4DD8A212-2032-49F0-BD95-ACEF34A13B04}"/>
    <cellStyle name="Comma 5 5" xfId="4435" xr:uid="{58F8F96E-2024-4BCC-82C0-D1F7349A2E38}"/>
    <cellStyle name="Comma 50" xfId="250" xr:uid="{08D2B08E-0286-4713-B80B-79796CAD2627}"/>
    <cellStyle name="Comma 50 2" xfId="1328" xr:uid="{9D1CB6B4-D888-4B86-899D-F9E63A7B9E0F}"/>
    <cellStyle name="Comma 50 2 2" xfId="3386" xr:uid="{CA28B38E-145F-4520-95A9-AE01FC38EBBE}"/>
    <cellStyle name="Comma 50 3" xfId="2356" xr:uid="{02B66910-D673-415B-BC3C-85111E627CE2}"/>
    <cellStyle name="Comma 50 4" xfId="4482" xr:uid="{F363FF63-6308-41FD-999F-2C9559F4E883}"/>
    <cellStyle name="Comma 500" xfId="740" xr:uid="{048D429F-D721-4DBD-ABD7-96479A6CC18C}"/>
    <cellStyle name="Comma 500 2" xfId="1778" xr:uid="{7833DFFF-9251-4946-AE9A-3BC0298DFF2A}"/>
    <cellStyle name="Comma 500 2 2" xfId="3836" xr:uid="{3F0FC1A4-6F75-4358-A505-7222824522D4}"/>
    <cellStyle name="Comma 500 3" xfId="2806" xr:uid="{E82779AB-2E8B-4BEE-8668-18762741D3F9}"/>
    <cellStyle name="Comma 500 4" xfId="4932" xr:uid="{51E6B61B-ACAC-4EA2-A36C-5989EA7626AB}"/>
    <cellStyle name="Comma 501" xfId="741" xr:uid="{A29A9BA6-971C-4FB0-95D5-0AAD23678CF7}"/>
    <cellStyle name="Comma 501 2" xfId="1779" xr:uid="{E90F2062-E956-48E1-AD55-DAD6438A63E3}"/>
    <cellStyle name="Comma 501 2 2" xfId="3837" xr:uid="{F89C0519-C611-4532-ACF1-B251BC807E5D}"/>
    <cellStyle name="Comma 501 3" xfId="2807" xr:uid="{911D91D1-D188-4991-BE6B-8B3A73B937D6}"/>
    <cellStyle name="Comma 501 4" xfId="4933" xr:uid="{F34CAA7B-87A0-4E4A-8DE6-09EE84C669FB}"/>
    <cellStyle name="Comma 502" xfId="742" xr:uid="{CB4B77DA-087D-4D54-B5C5-8C614C4DF740}"/>
    <cellStyle name="Comma 502 2" xfId="1780" xr:uid="{0741B2F6-2421-4B6F-A9B0-74CAD4FC170B}"/>
    <cellStyle name="Comma 502 2 2" xfId="3838" xr:uid="{5B9ED689-E43A-4892-9CE0-CC64D02FA824}"/>
    <cellStyle name="Comma 502 3" xfId="2808" xr:uid="{2BCD3281-9489-41D0-AD4D-60855ABDA928}"/>
    <cellStyle name="Comma 502 4" xfId="4934" xr:uid="{93BDB9C0-3C68-432B-8928-D468F8986C41}"/>
    <cellStyle name="Comma 503" xfId="743" xr:uid="{6E8EFA97-EEBB-462B-9D32-E10F68555B35}"/>
    <cellStyle name="Comma 503 2" xfId="1781" xr:uid="{F43AC1B1-BC34-464D-BBB1-931F57254058}"/>
    <cellStyle name="Comma 503 2 2" xfId="3839" xr:uid="{B07D3794-23D1-4B9D-A454-97A196FA66EA}"/>
    <cellStyle name="Comma 503 3" xfId="2809" xr:uid="{05075C12-767E-4847-9B82-2DCFF5E5DAA7}"/>
    <cellStyle name="Comma 503 4" xfId="4935" xr:uid="{B39F04A1-6879-43F3-B547-392E3E6FC2D9}"/>
    <cellStyle name="Comma 504" xfId="744" xr:uid="{849B7109-A716-4AC9-BC55-8F7B73F53AC7}"/>
    <cellStyle name="Comma 504 2" xfId="1782" xr:uid="{8723052B-7C66-42D9-8266-293DAC441C04}"/>
    <cellStyle name="Comma 504 2 2" xfId="3840" xr:uid="{38FFD318-B902-4F24-AA98-E075EF364531}"/>
    <cellStyle name="Comma 504 3" xfId="2810" xr:uid="{6BF3D6E3-0BE8-4FEA-9D9B-6178BD1F4541}"/>
    <cellStyle name="Comma 504 4" xfId="4936" xr:uid="{46DBFDF4-D2B1-4543-BAA4-B2595306365D}"/>
    <cellStyle name="Comma 505" xfId="745" xr:uid="{E7AC1353-8A42-4185-A652-BB53C39A2BED}"/>
    <cellStyle name="Comma 505 2" xfId="1783" xr:uid="{B7731863-4A76-42D7-9282-4BD487B4A11C}"/>
    <cellStyle name="Comma 505 2 2" xfId="3841" xr:uid="{BC3EEAAA-8092-4413-8E1B-6C884061BA2A}"/>
    <cellStyle name="Comma 505 3" xfId="2811" xr:uid="{AB55FD6A-7A0B-4FDE-8D31-65A7D35B8DFD}"/>
    <cellStyle name="Comma 505 4" xfId="4937" xr:uid="{DCC0898B-115A-4F22-B78F-26FC39A84007}"/>
    <cellStyle name="Comma 506" xfId="746" xr:uid="{CDAB07DD-5F4D-427A-BD9B-F3F41434257E}"/>
    <cellStyle name="Comma 506 2" xfId="1784" xr:uid="{E822277B-4406-44BF-A926-BAC324BE15C1}"/>
    <cellStyle name="Comma 506 2 2" xfId="3842" xr:uid="{207FEAF0-3070-48B1-AEBA-E30F0C2C1333}"/>
    <cellStyle name="Comma 506 3" xfId="2812" xr:uid="{24A88616-74EF-4726-9A2C-63891BFEA73B}"/>
    <cellStyle name="Comma 506 4" xfId="4938" xr:uid="{9A36966B-DC40-4EC3-8583-50B3A982AD12}"/>
    <cellStyle name="Comma 507" xfId="747" xr:uid="{878440E3-7B51-48DE-B457-340ED654A82B}"/>
    <cellStyle name="Comma 507 2" xfId="1785" xr:uid="{275A1315-160D-48A1-AF4E-DD330DA52FF1}"/>
    <cellStyle name="Comma 507 2 2" xfId="3843" xr:uid="{4B538C47-A8CC-4570-8C69-DFDA21756550}"/>
    <cellStyle name="Comma 507 3" xfId="2813" xr:uid="{041F3D27-9F88-413F-B301-F0EA153E2812}"/>
    <cellStyle name="Comma 507 4" xfId="4939" xr:uid="{6ECCC78A-61C1-45AC-B3A1-01061C69E39E}"/>
    <cellStyle name="Comma 508" xfId="748" xr:uid="{9F8E1811-4812-4F17-B29F-7CACFD5B9D24}"/>
    <cellStyle name="Comma 508 2" xfId="1786" xr:uid="{41244B5D-E084-420A-8792-7C81732AE93F}"/>
    <cellStyle name="Comma 508 2 2" xfId="3844" xr:uid="{D2520740-35B2-4074-99C2-60ABBA38CF90}"/>
    <cellStyle name="Comma 508 3" xfId="2814" xr:uid="{4B81AD07-8A41-42BF-BDA8-16EFD59376B2}"/>
    <cellStyle name="Comma 508 4" xfId="4940" xr:uid="{A770585A-129F-449A-B577-D50B1AA99636}"/>
    <cellStyle name="Comma 509" xfId="749" xr:uid="{0C5C6D17-9DA8-4AF2-BC57-A20683E8E62E}"/>
    <cellStyle name="Comma 509 2" xfId="1787" xr:uid="{7DF0A3BF-762B-48A1-B87B-E5AE8A96C4DB}"/>
    <cellStyle name="Comma 509 2 2" xfId="3845" xr:uid="{E54056E7-7987-466C-B138-ECC41996BC15}"/>
    <cellStyle name="Comma 509 3" xfId="2815" xr:uid="{145EE7E2-D98A-4B00-A3BB-8639AF552999}"/>
    <cellStyle name="Comma 509 4" xfId="4941" xr:uid="{26C02DF0-47E4-4C4E-AA55-7548015401F0}"/>
    <cellStyle name="Comma 51" xfId="251" xr:uid="{5DDDA969-86CB-459B-ADFB-F8A400988B33}"/>
    <cellStyle name="Comma 51 2" xfId="1329" xr:uid="{0204CF53-3A27-4854-A190-DE0EB4D5A9B5}"/>
    <cellStyle name="Comma 51 2 2" xfId="3387" xr:uid="{5E4CBF04-18E5-4211-8A81-BBBE51E4F3C7}"/>
    <cellStyle name="Comma 51 3" xfId="2357" xr:uid="{D704B7EB-AC55-4C4B-AC52-CA62DEF4F16C}"/>
    <cellStyle name="Comma 51 4" xfId="4483" xr:uid="{8E003F91-714F-44F6-B46F-8B60EA431A90}"/>
    <cellStyle name="Comma 510" xfId="750" xr:uid="{035D99AD-3277-4552-BBC4-93B62A27DDA3}"/>
    <cellStyle name="Comma 510 2" xfId="1788" xr:uid="{CA5D8655-7A91-41D2-BCF8-69339E51D9E3}"/>
    <cellStyle name="Comma 510 2 2" xfId="3846" xr:uid="{CA666D2F-ADF0-4DC8-85BB-4FB67E337743}"/>
    <cellStyle name="Comma 510 3" xfId="2816" xr:uid="{B24D404A-5050-4F6A-AB88-0746850F655E}"/>
    <cellStyle name="Comma 510 4" xfId="4942" xr:uid="{7049384C-85FA-460F-921A-C2569CE2865B}"/>
    <cellStyle name="Comma 511" xfId="751" xr:uid="{CCA491C1-2CF4-432F-B322-6F19867A1711}"/>
    <cellStyle name="Comma 511 2" xfId="1789" xr:uid="{BDA8BE1E-70BA-4E1A-879A-E4DF790C25A1}"/>
    <cellStyle name="Comma 511 2 2" xfId="3847" xr:uid="{039B3E56-3CCE-40F5-8E2C-E97F86CD0AF4}"/>
    <cellStyle name="Comma 511 3" xfId="2817" xr:uid="{4A025FE0-6711-42CE-B49A-AD692918BA5D}"/>
    <cellStyle name="Comma 511 4" xfId="4943" xr:uid="{6882E044-7F21-46FB-8C48-AF57C054A5B5}"/>
    <cellStyle name="Comma 512" xfId="752" xr:uid="{96EE69AC-D248-41B5-837E-2AE9129759FD}"/>
    <cellStyle name="Comma 512 2" xfId="1790" xr:uid="{98147C59-718E-4618-8F10-D914B35E1792}"/>
    <cellStyle name="Comma 512 2 2" xfId="3848" xr:uid="{56470574-5636-4C02-99D9-1FC1FDB550B1}"/>
    <cellStyle name="Comma 512 3" xfId="2818" xr:uid="{D000B86C-AF91-465B-B628-293EEB96A901}"/>
    <cellStyle name="Comma 512 4" xfId="4944" xr:uid="{2AC6B688-FA82-404F-BD9F-C0B987F899E5}"/>
    <cellStyle name="Comma 513" xfId="753" xr:uid="{F87332C0-34B9-4C84-9A60-0877CBAF0A58}"/>
    <cellStyle name="Comma 513 2" xfId="1791" xr:uid="{FD2F2E72-DBD6-4D96-8729-774097EEA913}"/>
    <cellStyle name="Comma 513 2 2" xfId="3849" xr:uid="{ED49922F-FF76-4768-96D2-E5AD3B23E5D2}"/>
    <cellStyle name="Comma 513 3" xfId="2819" xr:uid="{4BEB53FD-C473-491F-BEE6-1311DEA9D934}"/>
    <cellStyle name="Comma 513 4" xfId="4945" xr:uid="{C3B9795D-F116-481A-9CA1-8CCE782CA4AD}"/>
    <cellStyle name="Comma 514" xfId="754" xr:uid="{1C4EFDE5-CC62-4B90-9B14-B95C328FE157}"/>
    <cellStyle name="Comma 514 2" xfId="1792" xr:uid="{976950AC-2FD0-4319-8FE0-CEBEA979A622}"/>
    <cellStyle name="Comma 514 2 2" xfId="3850" xr:uid="{46C75B2D-C3DF-4BCA-B8EC-31B9FBEEEC36}"/>
    <cellStyle name="Comma 514 3" xfId="2820" xr:uid="{B1EDD8ED-D8A9-484E-9546-3383B5E5C1B6}"/>
    <cellStyle name="Comma 514 4" xfId="4946" xr:uid="{C47E258E-AD4E-4E87-93EE-3EC0429E465C}"/>
    <cellStyle name="Comma 515" xfId="755" xr:uid="{32B11B71-0EF5-49D6-94C5-4E23D1039278}"/>
    <cellStyle name="Comma 515 2" xfId="1793" xr:uid="{E7849F8F-8546-478C-A478-8F1F97D9FE73}"/>
    <cellStyle name="Comma 515 2 2" xfId="3851" xr:uid="{74C72F95-88A4-43AA-88B2-3DA662DCEAC5}"/>
    <cellStyle name="Comma 515 3" xfId="2821" xr:uid="{DE213A00-C9FD-42FB-AF2A-9953752BD62B}"/>
    <cellStyle name="Comma 515 4" xfId="4947" xr:uid="{6D7D8CE5-BD76-4B2F-ADDD-0A89CC4D4412}"/>
    <cellStyle name="Comma 516" xfId="756" xr:uid="{1FEFDC76-7273-4FA7-9271-A8D074778595}"/>
    <cellStyle name="Comma 516 2" xfId="1794" xr:uid="{91037A2B-ED5A-4929-9E66-D55161EA91CF}"/>
    <cellStyle name="Comma 516 2 2" xfId="3852" xr:uid="{BAADFE6B-FD61-4CD4-9BFE-AF0E0136E58A}"/>
    <cellStyle name="Comma 516 3" xfId="2822" xr:uid="{C0DA297F-8B62-44AE-88CE-4E3128FBEAC6}"/>
    <cellStyle name="Comma 516 4" xfId="4948" xr:uid="{02A572E6-9474-42A6-8629-05BBCF64B711}"/>
    <cellStyle name="Comma 517" xfId="757" xr:uid="{6AA0F073-7668-4905-9879-9085AB0A25F9}"/>
    <cellStyle name="Comma 517 2" xfId="1795" xr:uid="{76AB8964-844D-436E-B46F-47FE83B6980C}"/>
    <cellStyle name="Comma 517 2 2" xfId="3853" xr:uid="{73E27EBD-1863-4B9A-B388-E5BFC246AA35}"/>
    <cellStyle name="Comma 517 3" xfId="2823" xr:uid="{211EAD09-7CBC-4AD2-BEF3-20BF5C2E4F2F}"/>
    <cellStyle name="Comma 517 4" xfId="4949" xr:uid="{7E422CA4-8D43-4876-AF09-2E4B1D1AEB5D}"/>
    <cellStyle name="Comma 518" xfId="758" xr:uid="{89D74325-176F-483D-8796-770B7705329F}"/>
    <cellStyle name="Comma 518 2" xfId="1796" xr:uid="{A77F90E7-34BD-40C8-A821-92EC679F7016}"/>
    <cellStyle name="Comma 518 2 2" xfId="3854" xr:uid="{ED4181E7-AD26-479C-8613-9DA79B5325F9}"/>
    <cellStyle name="Comma 518 3" xfId="2824" xr:uid="{AF4BBBAC-E702-4CF3-8141-B8C18659F4B8}"/>
    <cellStyle name="Comma 518 4" xfId="4950" xr:uid="{56FFBFCD-D851-427D-A1A6-9FE8D1A3CF41}"/>
    <cellStyle name="Comma 519" xfId="759" xr:uid="{C172A9FF-0FDB-46E2-8C8E-6AE8B7BEF351}"/>
    <cellStyle name="Comma 519 2" xfId="1797" xr:uid="{3FFF86FB-7C8B-4E89-B8FC-E8C5CDB500F1}"/>
    <cellStyle name="Comma 519 2 2" xfId="3855" xr:uid="{80A09E9B-EA1F-45B2-99D8-32E3767E62DA}"/>
    <cellStyle name="Comma 519 3" xfId="2825" xr:uid="{C85445AA-DF43-435A-B02F-C6B7E0270BA6}"/>
    <cellStyle name="Comma 519 4" xfId="4951" xr:uid="{0F65E51E-C7CB-4D1C-B203-E60D86BAA4A7}"/>
    <cellStyle name="Comma 52" xfId="252" xr:uid="{938BCF59-7D58-427A-B771-F712A5D0297F}"/>
    <cellStyle name="Comma 52 2" xfId="1330" xr:uid="{CA14B0C6-73F8-48C4-91AC-1DE4005A7D40}"/>
    <cellStyle name="Comma 52 2 2" xfId="3388" xr:uid="{C47F7E4F-D411-4782-894F-46F2488FA0FB}"/>
    <cellStyle name="Comma 52 3" xfId="2358" xr:uid="{1B680C67-A1CA-4596-816F-DAE9DD1C9AD6}"/>
    <cellStyle name="Comma 52 4" xfId="4484" xr:uid="{47A3FE1E-ACCD-4D1C-972A-E86CCA37D3D0}"/>
    <cellStyle name="Comma 520" xfId="760" xr:uid="{78D8D2C5-8398-4B8A-9AC1-080F5880B993}"/>
    <cellStyle name="Comma 520 2" xfId="1798" xr:uid="{BFFE7CED-7C40-4BB0-BDFA-75C29F6CBF02}"/>
    <cellStyle name="Comma 520 2 2" xfId="3856" xr:uid="{384B09FD-72A0-476A-9D70-B66D92F1421D}"/>
    <cellStyle name="Comma 520 3" xfId="2826" xr:uid="{573BBF51-85F7-4030-847A-616ACA0ECF1B}"/>
    <cellStyle name="Comma 520 4" xfId="4952" xr:uid="{B2CE5A07-F69D-4CA1-86E4-4AAC706586C5}"/>
    <cellStyle name="Comma 521" xfId="761" xr:uid="{A21EC3A8-F77B-4AF1-9D62-78C4985A748A}"/>
    <cellStyle name="Comma 521 2" xfId="1799" xr:uid="{B8560118-2C22-4A34-8873-94EAC2E9478F}"/>
    <cellStyle name="Comma 521 2 2" xfId="3857" xr:uid="{A2565C41-BC9F-4D64-B56C-A155EB57B475}"/>
    <cellStyle name="Comma 521 3" xfId="2827" xr:uid="{B0894FA6-72B1-4E50-8C35-5E4EB16D0B23}"/>
    <cellStyle name="Comma 521 4" xfId="4953" xr:uid="{16B9121C-87EE-47C4-B951-4591176E0E61}"/>
    <cellStyle name="Comma 522" xfId="762" xr:uid="{E9BFCE2F-9CD6-4FE0-ABC3-B86210D4CA01}"/>
    <cellStyle name="Comma 522 2" xfId="1800" xr:uid="{21E204D4-7399-4E49-80AE-7186FEB136A0}"/>
    <cellStyle name="Comma 522 2 2" xfId="3858" xr:uid="{B2A73608-98E1-4524-89A7-CDE94805AFDB}"/>
    <cellStyle name="Comma 522 3" xfId="2828" xr:uid="{DDC02D7F-07FB-49DA-A98A-98572820B9F4}"/>
    <cellStyle name="Comma 522 4" xfId="4954" xr:uid="{652DE2E1-4D2F-4C0E-829E-29816E9FADBF}"/>
    <cellStyle name="Comma 523" xfId="763" xr:uid="{26B04B63-ED10-47D4-B3C6-F70C41DACD34}"/>
    <cellStyle name="Comma 523 2" xfId="1801" xr:uid="{3C736712-41D2-4F02-8AC8-42130AFF9B6A}"/>
    <cellStyle name="Comma 523 2 2" xfId="3859" xr:uid="{73E53D05-C5FD-4D09-9962-08DC0E88B975}"/>
    <cellStyle name="Comma 523 3" xfId="2829" xr:uid="{8886CD32-4ACF-4956-8271-E69087005BA7}"/>
    <cellStyle name="Comma 523 4" xfId="4955" xr:uid="{A0E986E0-FC28-4F61-9A78-76D04AB1968B}"/>
    <cellStyle name="Comma 524" xfId="764" xr:uid="{A590DDF7-85FB-4D85-8DEB-04E9AE9A50BA}"/>
    <cellStyle name="Comma 524 2" xfId="1802" xr:uid="{77C54B97-8BDF-448B-9528-55A41A5BE573}"/>
    <cellStyle name="Comma 524 2 2" xfId="3860" xr:uid="{2D5F1292-778A-46DC-836C-EE1521CF7029}"/>
    <cellStyle name="Comma 524 3" xfId="2830" xr:uid="{CE30C4FF-8424-4E02-8957-D4ACB10A2F1B}"/>
    <cellStyle name="Comma 524 4" xfId="4956" xr:uid="{AF1C947A-DD01-40D1-BAE8-360672A964CB}"/>
    <cellStyle name="Comma 525" xfId="765" xr:uid="{94773558-7C4A-48D0-BA0F-8E59E1C12F08}"/>
    <cellStyle name="Comma 525 2" xfId="1803" xr:uid="{C86F6A37-FD62-43B0-BEEA-8DC9FCB495E2}"/>
    <cellStyle name="Comma 525 2 2" xfId="3861" xr:uid="{B550029D-F63C-4970-8DE3-1347069791F0}"/>
    <cellStyle name="Comma 525 3" xfId="2831" xr:uid="{6EC6EAD4-6E33-49D6-9D4E-E1C2E41F24D7}"/>
    <cellStyle name="Comma 525 4" xfId="4957" xr:uid="{B8EB5C44-192E-4DB7-B66B-146A2E66E914}"/>
    <cellStyle name="Comma 526" xfId="766" xr:uid="{ABFFD028-7AD3-472C-8590-CBD3E39FF2D7}"/>
    <cellStyle name="Comma 526 2" xfId="1804" xr:uid="{67AA0028-5041-4658-8AB4-3CE918F055CE}"/>
    <cellStyle name="Comma 526 2 2" xfId="3862" xr:uid="{9894E6B4-FA6B-4172-BABF-34390717300A}"/>
    <cellStyle name="Comma 526 3" xfId="2832" xr:uid="{0012C121-06CB-4F2D-9BF9-148E60AD1986}"/>
    <cellStyle name="Comma 526 4" xfId="4958" xr:uid="{9E4ED74B-B5BD-4D28-8091-99574A3D38F8}"/>
    <cellStyle name="Comma 527" xfId="767" xr:uid="{634871AA-F320-4444-A3D6-32014C2DDFE9}"/>
    <cellStyle name="Comma 527 2" xfId="1805" xr:uid="{66F2651F-71C1-43F6-8BDF-B7B318BD99B2}"/>
    <cellStyle name="Comma 527 2 2" xfId="3863" xr:uid="{B59754FF-0110-48E9-93CF-3DD586DA4D96}"/>
    <cellStyle name="Comma 527 3" xfId="2833" xr:uid="{2A95BA0E-5530-4BA0-8F5F-887188A87BC4}"/>
    <cellStyle name="Comma 527 4" xfId="4959" xr:uid="{E55C1F21-42DD-44CE-A924-02A092675A89}"/>
    <cellStyle name="Comma 528" xfId="768" xr:uid="{14BBB30F-C48C-42B3-8D50-363620022C95}"/>
    <cellStyle name="Comma 528 2" xfId="1806" xr:uid="{5AFE7A86-232B-490A-A755-A8541482FA0F}"/>
    <cellStyle name="Comma 528 2 2" xfId="3864" xr:uid="{1DFBDD78-8494-49A0-AAF6-BED6448EEE64}"/>
    <cellStyle name="Comma 528 3" xfId="2834" xr:uid="{7FCCE808-F7AB-4F23-8AF5-0B4EAF7802E5}"/>
    <cellStyle name="Comma 528 4" xfId="4960" xr:uid="{D2025DD2-7F22-4562-AA8A-91BEB43CD092}"/>
    <cellStyle name="Comma 529" xfId="769" xr:uid="{073C5EDD-E8AA-47EA-A338-942F07856BF2}"/>
    <cellStyle name="Comma 529 2" xfId="1807" xr:uid="{FD36DFDB-665B-4F02-89F9-79C647C42D07}"/>
    <cellStyle name="Comma 529 2 2" xfId="3865" xr:uid="{9918654E-0221-4AC0-87F6-02643CC2F2F6}"/>
    <cellStyle name="Comma 529 3" xfId="2835" xr:uid="{BE2E91E4-7CA8-42C4-A619-89F18B402457}"/>
    <cellStyle name="Comma 529 4" xfId="4961" xr:uid="{3D94C246-B5B1-4157-B8BE-462EF86FBB53}"/>
    <cellStyle name="Comma 53" xfId="253" xr:uid="{BFD67465-7281-4544-87A1-1FA7C4FD3217}"/>
    <cellStyle name="Comma 53 2" xfId="1331" xr:uid="{7A5D034A-F2C4-4DC6-816F-1EB91487E5BB}"/>
    <cellStyle name="Comma 53 2 2" xfId="3389" xr:uid="{E4C00A3B-84BB-4168-A299-DE4E989B364B}"/>
    <cellStyle name="Comma 53 3" xfId="2359" xr:uid="{0141D5F3-782F-4D2A-8D72-0412FFF87124}"/>
    <cellStyle name="Comma 53 4" xfId="4485" xr:uid="{C552E4F0-0D3D-4E1F-BB00-AAC698ED5B78}"/>
    <cellStyle name="Comma 530" xfId="770" xr:uid="{5FEE3394-0BD9-45F0-8503-512AE9287817}"/>
    <cellStyle name="Comma 530 2" xfId="1808" xr:uid="{13072A17-6F85-4AA2-9BE8-87A056FB8822}"/>
    <cellStyle name="Comma 530 2 2" xfId="3866" xr:uid="{D4BBD995-7329-4F71-A9A3-C4DE4D08C2B4}"/>
    <cellStyle name="Comma 530 3" xfId="2836" xr:uid="{DADA7C6F-AD25-496E-997E-EFB550313580}"/>
    <cellStyle name="Comma 530 4" xfId="4962" xr:uid="{E7783997-2674-43B0-906B-04270CB07D7D}"/>
    <cellStyle name="Comma 531" xfId="771" xr:uid="{FB52DC29-E7BF-488B-BD61-636A179BEFB8}"/>
    <cellStyle name="Comma 531 2" xfId="1809" xr:uid="{0B6DB976-C539-4CA5-B995-6C2F80C10A4F}"/>
    <cellStyle name="Comma 531 2 2" xfId="3867" xr:uid="{E8576030-5FEE-48C1-A28A-AA5AD3DA8807}"/>
    <cellStyle name="Comma 531 3" xfId="2837" xr:uid="{D8087B78-36A2-4099-A697-2765634D517A}"/>
    <cellStyle name="Comma 531 4" xfId="4963" xr:uid="{71035252-10D4-4305-A3F8-889E3DF02F8F}"/>
    <cellStyle name="Comma 532" xfId="772" xr:uid="{A76DDA00-7345-4DC5-A832-0A9F8D56FA57}"/>
    <cellStyle name="Comma 532 2" xfId="1810" xr:uid="{34510D4B-C116-4184-9C74-1F68452083BD}"/>
    <cellStyle name="Comma 532 2 2" xfId="3868" xr:uid="{99553414-7242-442D-A7BC-35379F4FB67D}"/>
    <cellStyle name="Comma 532 3" xfId="2838" xr:uid="{D56CD063-EBB9-486F-AC07-0283AE9E898E}"/>
    <cellStyle name="Comma 532 4" xfId="4964" xr:uid="{C1A2EF16-65E2-49D7-881B-CD1F4130F73E}"/>
    <cellStyle name="Comma 533" xfId="773" xr:uid="{697693E9-885D-4F55-AD76-DFB7D252C366}"/>
    <cellStyle name="Comma 533 2" xfId="1811" xr:uid="{8B7914C6-9916-4F78-A9F5-2C0CA3F0C346}"/>
    <cellStyle name="Comma 533 2 2" xfId="3869" xr:uid="{288FF1FF-44E7-4BC3-9637-C79A0B5287F0}"/>
    <cellStyle name="Comma 533 3" xfId="2839" xr:uid="{4ACB732B-6C8D-43A6-B30C-AC940D204584}"/>
    <cellStyle name="Comma 533 4" xfId="4965" xr:uid="{E17969E2-C30C-496C-AE8D-DA49CACE7966}"/>
    <cellStyle name="Comma 534" xfId="774" xr:uid="{DE3503FD-F0C4-4ECC-AA69-6D38D192D3D5}"/>
    <cellStyle name="Comma 534 2" xfId="1812" xr:uid="{DE2EBF0C-1C52-4BDD-96F4-1AEE4A2DE24E}"/>
    <cellStyle name="Comma 534 2 2" xfId="3870" xr:uid="{5D1EEFC3-0F6D-4538-ADAA-E8A06DB0827E}"/>
    <cellStyle name="Comma 534 3" xfId="2840" xr:uid="{470379AF-2F2F-4DD3-AA08-C19370BDBF49}"/>
    <cellStyle name="Comma 534 4" xfId="4966" xr:uid="{10D56235-396F-4688-8D42-244FE313F973}"/>
    <cellStyle name="Comma 535" xfId="775" xr:uid="{78407D34-6F1F-4C0D-B70A-5F27ACB91C6E}"/>
    <cellStyle name="Comma 535 2" xfId="1813" xr:uid="{4B046AC9-4C22-434B-A856-058EDE4A48C6}"/>
    <cellStyle name="Comma 535 2 2" xfId="3871" xr:uid="{9547C5AF-6CFD-4E2D-A4F7-1F949DB028A4}"/>
    <cellStyle name="Comma 535 3" xfId="2841" xr:uid="{686FA14F-0D3B-4A2E-ADE8-7782FA653919}"/>
    <cellStyle name="Comma 535 4" xfId="4967" xr:uid="{A93AACC7-59E0-4F91-8C67-F9461ED80118}"/>
    <cellStyle name="Comma 536" xfId="776" xr:uid="{31DAD934-B02B-4162-B8FF-222C933A3D43}"/>
    <cellStyle name="Comma 536 2" xfId="1814" xr:uid="{CA4C1D75-9FB0-4E57-AE81-61F03162BA55}"/>
    <cellStyle name="Comma 536 2 2" xfId="3872" xr:uid="{FEC2D308-05B5-4702-B154-B043C4FBE9BA}"/>
    <cellStyle name="Comma 536 3" xfId="2842" xr:uid="{5B73B649-B25D-4543-82E0-B24620DE4E8E}"/>
    <cellStyle name="Comma 536 4" xfId="4968" xr:uid="{E4C482A4-F7FD-4C21-8F5D-D757584A9F0D}"/>
    <cellStyle name="Comma 537" xfId="777" xr:uid="{E92C7D35-8AA1-48EB-8ED6-A35746955DD6}"/>
    <cellStyle name="Comma 537 2" xfId="1815" xr:uid="{FBDEF8D3-3FBC-45EE-A88C-70F42B944615}"/>
    <cellStyle name="Comma 537 2 2" xfId="3873" xr:uid="{B7D6AFF2-5E42-425A-84EF-DE6EB28F6FE7}"/>
    <cellStyle name="Comma 537 3" xfId="2843" xr:uid="{81C28C16-399F-4224-B692-0826602A3C7E}"/>
    <cellStyle name="Comma 537 4" xfId="4969" xr:uid="{37AD8B05-E63F-4E50-8414-0F4884A54560}"/>
    <cellStyle name="Comma 538" xfId="778" xr:uid="{B11D011D-980A-41E3-8A6C-3D34AA6F051F}"/>
    <cellStyle name="Comma 538 2" xfId="1816" xr:uid="{C2E0EA1C-C8F9-49D3-A2CA-36E56424D33E}"/>
    <cellStyle name="Comma 538 2 2" xfId="3874" xr:uid="{B87A3C60-BE00-457A-B73D-DE4218889884}"/>
    <cellStyle name="Comma 538 3" xfId="2844" xr:uid="{00131EBD-628C-473F-AF0F-04D6876DA7FF}"/>
    <cellStyle name="Comma 538 4" xfId="4970" xr:uid="{6970DF5F-31C5-4C13-B482-E15FB2B40721}"/>
    <cellStyle name="Comma 539" xfId="779" xr:uid="{61316178-4607-4423-8E48-7C7899919BB8}"/>
    <cellStyle name="Comma 539 2" xfId="1817" xr:uid="{1CC2CB7C-4E3E-4A39-9675-BDC321C75CD4}"/>
    <cellStyle name="Comma 539 2 2" xfId="3875" xr:uid="{B44F16EC-033F-407F-A0B5-84A1E2B2D88B}"/>
    <cellStyle name="Comma 539 3" xfId="2845" xr:uid="{6248DE25-128D-4AEA-B743-EAC398CEDBC4}"/>
    <cellStyle name="Comma 539 4" xfId="4971" xr:uid="{278FB552-E53C-46CA-B6BE-166BF2F1FE21}"/>
    <cellStyle name="Comma 54" xfId="254" xr:uid="{8A55ED37-E972-4987-BB6E-20A4DD3BB13A}"/>
    <cellStyle name="Comma 54 2" xfId="1332" xr:uid="{E4F65EB9-DC80-40C8-931E-7A25FFD79295}"/>
    <cellStyle name="Comma 54 2 2" xfId="3390" xr:uid="{CA903C43-B97F-4761-BCCA-6FA6921186AF}"/>
    <cellStyle name="Comma 54 3" xfId="2360" xr:uid="{FB42142A-2D65-4807-85B4-FCBD9550714F}"/>
    <cellStyle name="Comma 54 4" xfId="4486" xr:uid="{06492472-9270-4B84-B778-E1137F6DA15A}"/>
    <cellStyle name="Comma 540" xfId="780" xr:uid="{A144F807-1270-40A7-8E41-008629069D7A}"/>
    <cellStyle name="Comma 540 2" xfId="1818" xr:uid="{633FA7AA-1D5A-4CCD-AF75-F63F212CA4FF}"/>
    <cellStyle name="Comma 540 2 2" xfId="3876" xr:uid="{27C01E31-CEE6-4B3E-BCFA-636E48B4094E}"/>
    <cellStyle name="Comma 540 3" xfId="2846" xr:uid="{622F04A0-83C0-47F9-8F4D-720BA26179E3}"/>
    <cellStyle name="Comma 540 4" xfId="4972" xr:uid="{7C9505A3-F412-4EB5-8422-366C65FD1DE2}"/>
    <cellStyle name="Comma 541" xfId="781" xr:uid="{84BF507F-F304-46E5-A343-A1E3EDC35E3A}"/>
    <cellStyle name="Comma 541 2" xfId="1819" xr:uid="{E2D13F14-3888-4883-8258-DDFA9CBC2BD9}"/>
    <cellStyle name="Comma 541 2 2" xfId="3877" xr:uid="{F32B8FC5-54D6-420D-A22F-36A384727D76}"/>
    <cellStyle name="Comma 541 3" xfId="2847" xr:uid="{FC57D20E-E361-4DEF-82C0-23450F2BBD7B}"/>
    <cellStyle name="Comma 541 4" xfId="4973" xr:uid="{85B4CCC7-B34E-4FD6-901A-81D3A14E49B2}"/>
    <cellStyle name="Comma 542" xfId="782" xr:uid="{6702E2F4-6C02-40CD-BB4B-FE56B05FC00C}"/>
    <cellStyle name="Comma 542 2" xfId="1820" xr:uid="{218ADD3E-0F86-4762-B783-C23324109117}"/>
    <cellStyle name="Comma 542 2 2" xfId="3878" xr:uid="{CC943558-675B-4E9C-AFD0-8372D30227B7}"/>
    <cellStyle name="Comma 542 3" xfId="2848" xr:uid="{CE395349-FA31-47D1-A3AF-5320B93D4B85}"/>
    <cellStyle name="Comma 542 4" xfId="4974" xr:uid="{0FBD428E-BBAB-4B07-837E-338764BAD860}"/>
    <cellStyle name="Comma 543" xfId="783" xr:uid="{EC770E69-D36C-4CA5-A1A9-D5EEAA4421AC}"/>
    <cellStyle name="Comma 543 2" xfId="1821" xr:uid="{8E352A44-F6C8-4E51-9508-A6B16C62357A}"/>
    <cellStyle name="Comma 543 2 2" xfId="3879" xr:uid="{84BDBC6A-1B45-4E4B-9F29-640F754F44DF}"/>
    <cellStyle name="Comma 543 3" xfId="2849" xr:uid="{8DDFFD40-2EFC-4084-B0EB-6D7238512B01}"/>
    <cellStyle name="Comma 543 4" xfId="4975" xr:uid="{E94848DF-A0B0-42D8-B584-354137A9BBBA}"/>
    <cellStyle name="Comma 544" xfId="784" xr:uid="{D65DCB0B-633B-4208-940B-24009D4DA7B8}"/>
    <cellStyle name="Comma 544 2" xfId="1822" xr:uid="{953026DE-EFC7-452D-9427-E48811547D06}"/>
    <cellStyle name="Comma 544 2 2" xfId="3880" xr:uid="{103CAD40-225D-4B47-89B8-16DBE3C98F8A}"/>
    <cellStyle name="Comma 544 3" xfId="2850" xr:uid="{12E882C2-B62F-4923-BD77-5C8EA69EB2F7}"/>
    <cellStyle name="Comma 544 4" xfId="4976" xr:uid="{A09D58C1-FE6A-4A9A-9813-4240EF9EDE45}"/>
    <cellStyle name="Comma 545" xfId="785" xr:uid="{F5EC1569-0FF3-4823-B367-F40ED3C9964D}"/>
    <cellStyle name="Comma 545 2" xfId="1823" xr:uid="{1A8E3E1C-3D23-46A2-A6D9-15F07DB5A8A8}"/>
    <cellStyle name="Comma 545 2 2" xfId="3881" xr:uid="{86BEC232-A0B9-4C11-A061-ACF354A5A2D1}"/>
    <cellStyle name="Comma 545 3" xfId="2851" xr:uid="{0A1B698C-68FF-456B-A567-94850C5B2130}"/>
    <cellStyle name="Comma 545 4" xfId="4977" xr:uid="{AF17CADB-D7FD-4CBB-A0CB-1BF24E2452C1}"/>
    <cellStyle name="Comma 546" xfId="786" xr:uid="{B140CD0A-3E98-46B9-803B-DE0EB255800C}"/>
    <cellStyle name="Comma 546 2" xfId="1824" xr:uid="{39D45855-AC47-4C4D-A07A-BCD29A7F0871}"/>
    <cellStyle name="Comma 546 2 2" xfId="3882" xr:uid="{2C3D8628-E02E-4FCA-A883-0AD526C89288}"/>
    <cellStyle name="Comma 546 3" xfId="2852" xr:uid="{C22293DE-CCE9-43D1-A2B2-7DFE29CD5A7B}"/>
    <cellStyle name="Comma 546 4" xfId="4978" xr:uid="{11560D2D-BF31-4F1B-BBAC-7D57668BCAE8}"/>
    <cellStyle name="Comma 547" xfId="787" xr:uid="{C6256860-DADC-4E1D-87FD-8E7B22135826}"/>
    <cellStyle name="Comma 547 2" xfId="1825" xr:uid="{F7F3468F-A07A-49E3-8931-C4C927B8462C}"/>
    <cellStyle name="Comma 547 2 2" xfId="3883" xr:uid="{37BA3DED-B54C-4D59-9E4D-1FB207DE6DC1}"/>
    <cellStyle name="Comma 547 3" xfId="2853" xr:uid="{49EBB586-9A7D-4473-ABA1-4DFE27566E41}"/>
    <cellStyle name="Comma 547 4" xfId="4979" xr:uid="{1628FB6B-3EBD-4D7B-8786-88A2B340A89B}"/>
    <cellStyle name="Comma 548" xfId="788" xr:uid="{D6AC7CAC-347A-4E77-8847-558B8F342D3A}"/>
    <cellStyle name="Comma 548 2" xfId="1826" xr:uid="{F76149DB-1B11-4239-B8DC-705E58547F04}"/>
    <cellStyle name="Comma 548 2 2" xfId="3884" xr:uid="{DD62811E-7B9E-4CAE-945E-F53C371915B4}"/>
    <cellStyle name="Comma 548 3" xfId="2854" xr:uid="{E5C68A5F-8303-4C09-A7AB-1B2710DA885E}"/>
    <cellStyle name="Comma 548 4" xfId="4980" xr:uid="{0104A22A-BD75-49C0-B871-5EA97C183AF6}"/>
    <cellStyle name="Comma 549" xfId="789" xr:uid="{53D1515E-B774-459A-A06A-D342E50B405D}"/>
    <cellStyle name="Comma 549 2" xfId="1827" xr:uid="{0397546E-E8F0-4487-A9F2-C6B8A5A465BA}"/>
    <cellStyle name="Comma 549 2 2" xfId="3885" xr:uid="{D3254366-D4A9-4636-9B95-ACA237FCDDEA}"/>
    <cellStyle name="Comma 549 3" xfId="2855" xr:uid="{810CDAAC-24A1-4F75-A5A6-005AC3285981}"/>
    <cellStyle name="Comma 549 4" xfId="4981" xr:uid="{50FAA7D3-35B8-4B6E-8402-B4EE0B67CD9A}"/>
    <cellStyle name="Comma 55" xfId="255" xr:uid="{D767BAB2-6BBD-4140-8F9A-F3D5476AF0CC}"/>
    <cellStyle name="Comma 55 2" xfId="1333" xr:uid="{E02969B4-41A3-484D-AD96-FEFE6547DC58}"/>
    <cellStyle name="Comma 55 2 2" xfId="3391" xr:uid="{2E809876-A7D0-43B5-A5AE-08C66715B707}"/>
    <cellStyle name="Comma 55 3" xfId="2361" xr:uid="{FCC0446F-3D01-443A-AE18-BEBF2A0BAE9F}"/>
    <cellStyle name="Comma 55 4" xfId="4487" xr:uid="{4B085A25-C59E-4B29-9D25-6CADEE6BFA35}"/>
    <cellStyle name="Comma 550" xfId="790" xr:uid="{5A6C0356-0110-4C22-99B6-1BCFB9D213C8}"/>
    <cellStyle name="Comma 550 2" xfId="1828" xr:uid="{56AA2F59-876A-400E-A3EF-5F0D732E7879}"/>
    <cellStyle name="Comma 550 2 2" xfId="3886" xr:uid="{F3880389-CBB6-4A36-BBD9-92A3202E164E}"/>
    <cellStyle name="Comma 550 3" xfId="2856" xr:uid="{7D8851BD-6820-4281-AE38-12915196AD16}"/>
    <cellStyle name="Comma 550 4" xfId="4982" xr:uid="{FB44108A-8601-4A2E-8A92-EC1EE8B5EBCE}"/>
    <cellStyle name="Comma 551" xfId="791" xr:uid="{DA3CE34B-48B9-4339-8FE7-407D81EECF05}"/>
    <cellStyle name="Comma 551 2" xfId="1829" xr:uid="{6986C131-08D3-431B-B63C-353622F2CD1E}"/>
    <cellStyle name="Comma 551 2 2" xfId="3887" xr:uid="{E77184D2-7E14-411D-82DF-889DEE17F69B}"/>
    <cellStyle name="Comma 551 3" xfId="2857" xr:uid="{62B8E84F-A4E2-4F6A-ADCA-DA16EE116477}"/>
    <cellStyle name="Comma 551 4" xfId="4983" xr:uid="{B17D4D16-4602-4FD5-9DC7-7DCEBB57C40A}"/>
    <cellStyle name="Comma 552" xfId="792" xr:uid="{2240168F-3A6E-4524-98AB-D7AFABE5081D}"/>
    <cellStyle name="Comma 552 2" xfId="1830" xr:uid="{519EB339-FF5B-4A7D-899D-ECA157BBD510}"/>
    <cellStyle name="Comma 552 2 2" xfId="3888" xr:uid="{12EA0929-451D-4731-8181-6DB2BBF128F2}"/>
    <cellStyle name="Comma 552 3" xfId="2858" xr:uid="{F81DBA54-C0C6-4E12-8FFD-AE156170AD4F}"/>
    <cellStyle name="Comma 552 4" xfId="4984" xr:uid="{4EDF580E-8D90-428E-B82E-6ECC7631181B}"/>
    <cellStyle name="Comma 553" xfId="793" xr:uid="{4C331D59-3C8D-486C-B8AF-D1ACC3D02D81}"/>
    <cellStyle name="Comma 553 2" xfId="1831" xr:uid="{F1B9F3E0-0306-4DC4-8F1A-435ED08C2698}"/>
    <cellStyle name="Comma 553 2 2" xfId="3889" xr:uid="{49A2E0E6-9B28-4AB7-8426-B71FD45BED9A}"/>
    <cellStyle name="Comma 553 3" xfId="2859" xr:uid="{306D20F7-4222-4A29-AFC3-C65939FF2AAB}"/>
    <cellStyle name="Comma 553 4" xfId="4985" xr:uid="{C4C42F01-ECB0-40EC-BF7A-73CDACC5DD13}"/>
    <cellStyle name="Comma 554" xfId="794" xr:uid="{99A005C7-DF53-4BDC-8470-D1A0B1B23FE5}"/>
    <cellStyle name="Comma 554 2" xfId="1832" xr:uid="{3A850A07-88AB-444B-ABD6-B56AE31E6AC6}"/>
    <cellStyle name="Comma 554 2 2" xfId="3890" xr:uid="{4E53EDC6-4D22-4429-BA07-5E39CA8A0BB6}"/>
    <cellStyle name="Comma 554 3" xfId="2860" xr:uid="{E5EBECF6-E85A-4A95-B97B-F12032CFDC05}"/>
    <cellStyle name="Comma 554 4" xfId="4986" xr:uid="{AA77F3AA-E15E-4E0F-BAE3-AD7FE2FE9559}"/>
    <cellStyle name="Comma 555" xfId="795" xr:uid="{64B8C12B-B2CB-4C28-9CEC-776CB39EB544}"/>
    <cellStyle name="Comma 555 2" xfId="1833" xr:uid="{137CE877-6B6C-4290-B2B3-C81A55C7C681}"/>
    <cellStyle name="Comma 555 2 2" xfId="3891" xr:uid="{3C4C14A1-F2FF-4084-B57F-F809CC526390}"/>
    <cellStyle name="Comma 555 3" xfId="2861" xr:uid="{C907ADB3-C0A3-4CA3-BEA1-C3E471EE352F}"/>
    <cellStyle name="Comma 555 4" xfId="4987" xr:uid="{C76D7D41-9AEE-4934-8418-717711D29C66}"/>
    <cellStyle name="Comma 556" xfId="796" xr:uid="{028BDC8D-65DA-4A63-A491-8821EB18C3CF}"/>
    <cellStyle name="Comma 556 2" xfId="1834" xr:uid="{1988C8FB-6ECD-4718-BFD6-889D3C6ED20A}"/>
    <cellStyle name="Comma 556 2 2" xfId="3892" xr:uid="{B80ED1D7-3AF4-4674-BC32-457B38F88532}"/>
    <cellStyle name="Comma 556 3" xfId="2862" xr:uid="{DC2938F8-E1C2-49F8-938F-4EEFEFDBCD2B}"/>
    <cellStyle name="Comma 556 4" xfId="4988" xr:uid="{27212F0D-1ABE-46E0-B2CA-D8313FF5435F}"/>
    <cellStyle name="Comma 557" xfId="797" xr:uid="{731B11EF-1F5B-4C0F-8D1E-3EF02F85A280}"/>
    <cellStyle name="Comma 557 2" xfId="1835" xr:uid="{F8811129-FE80-4CE8-ABFE-F56ABCE631B2}"/>
    <cellStyle name="Comma 557 2 2" xfId="3893" xr:uid="{9928CF16-DDA2-4BEF-B5C9-546F0AEB1096}"/>
    <cellStyle name="Comma 557 3" xfId="2863" xr:uid="{0599290B-8A8E-4077-81EC-E3D50AF505D6}"/>
    <cellStyle name="Comma 557 4" xfId="4989" xr:uid="{77EA52F6-A6FD-497E-90B9-F1A581C183AE}"/>
    <cellStyle name="Comma 558" xfId="798" xr:uid="{8D094889-AF6B-456A-B9B8-7F8600EC5F49}"/>
    <cellStyle name="Comma 558 2" xfId="1836" xr:uid="{954B1FD5-DA03-47E1-99C7-6D1EE02B843C}"/>
    <cellStyle name="Comma 558 2 2" xfId="3894" xr:uid="{ACA6F686-0CFA-400A-8800-157C67F29FE4}"/>
    <cellStyle name="Comma 558 3" xfId="2864" xr:uid="{423B73A1-199E-4C80-BFC1-EE87CDE5ABEF}"/>
    <cellStyle name="Comma 558 4" xfId="4990" xr:uid="{5E915165-1BAB-44FB-A53D-D1584918449F}"/>
    <cellStyle name="Comma 559" xfId="799" xr:uid="{05DF5617-4249-466C-B4FD-A43C11154A81}"/>
    <cellStyle name="Comma 559 2" xfId="1837" xr:uid="{7A7F0A30-FF35-470A-AD41-6542E19114D8}"/>
    <cellStyle name="Comma 559 2 2" xfId="3895" xr:uid="{99C7E55A-E49C-4561-9578-7458C5CBE66C}"/>
    <cellStyle name="Comma 559 3" xfId="2865" xr:uid="{200D2284-B99A-4061-AC45-C9E10A88B9A0}"/>
    <cellStyle name="Comma 559 4" xfId="4991" xr:uid="{5E41651D-5B23-498D-9FA8-A5A7252FC6B7}"/>
    <cellStyle name="Comma 56" xfId="256" xr:uid="{599B89A7-FEB3-4B9E-AC43-65838B359248}"/>
    <cellStyle name="Comma 56 2" xfId="1334" xr:uid="{EE6A81A3-6C11-42BE-8864-9BD61199C8DD}"/>
    <cellStyle name="Comma 56 2 2" xfId="3392" xr:uid="{98BE2643-BB6E-40A8-860E-97C0D37822B7}"/>
    <cellStyle name="Comma 56 3" xfId="2362" xr:uid="{CC9E2702-1AD1-40B3-856B-B54D658DAA6C}"/>
    <cellStyle name="Comma 56 4" xfId="4488" xr:uid="{2C0FDAA4-3FD0-4623-9EAF-66163FD4F000}"/>
    <cellStyle name="Comma 560" xfId="800" xr:uid="{ACA3281F-9D25-4FEE-B225-F6DFCBF1F65A}"/>
    <cellStyle name="Comma 560 2" xfId="1838" xr:uid="{B2B49967-1472-4CBE-A287-7DB351D44919}"/>
    <cellStyle name="Comma 560 2 2" xfId="3896" xr:uid="{59021832-912B-4790-ADC7-A9D88B4C1862}"/>
    <cellStyle name="Comma 560 3" xfId="2866" xr:uid="{B5AB56FE-DC3B-4BFD-B891-4865C12C1D1D}"/>
    <cellStyle name="Comma 560 4" xfId="4992" xr:uid="{05B9E7AF-60FB-429E-80C8-529CCFDB5403}"/>
    <cellStyle name="Comma 561" xfId="801" xr:uid="{5D13083C-637A-4F9E-AF17-942B1E5FBA93}"/>
    <cellStyle name="Comma 561 2" xfId="1839" xr:uid="{AF8B57B6-E9EA-4568-B3EC-18685C7C7CE9}"/>
    <cellStyle name="Comma 561 2 2" xfId="3897" xr:uid="{DDDE90C9-DB89-4EE2-ADB1-B95945950B88}"/>
    <cellStyle name="Comma 561 3" xfId="2867" xr:uid="{55C88BC2-D4F3-4480-8E40-0A22871EAE65}"/>
    <cellStyle name="Comma 561 4" xfId="4993" xr:uid="{FFED2BCE-2AB0-403F-8ECC-B327BD57E391}"/>
    <cellStyle name="Comma 562" xfId="802" xr:uid="{2DB08F97-A46D-4D40-8833-E8623782D044}"/>
    <cellStyle name="Comma 562 2" xfId="1840" xr:uid="{0AECE497-C1AC-4526-8900-D5F48CE58873}"/>
    <cellStyle name="Comma 562 2 2" xfId="3898" xr:uid="{551D592B-4E97-426B-A06D-FB43C1664ACA}"/>
    <cellStyle name="Comma 562 3" xfId="2868" xr:uid="{A8AE4C7E-67C0-4F89-8A0B-ADA1DD01AEB7}"/>
    <cellStyle name="Comma 562 4" xfId="4994" xr:uid="{64741B06-5FB1-4183-ABE0-7EAB82EA98B3}"/>
    <cellStyle name="Comma 563" xfId="803" xr:uid="{F41E7616-DF78-4AE0-8E3F-861FBACB3E3D}"/>
    <cellStyle name="Comma 563 2" xfId="1841" xr:uid="{35E29C53-BF6E-4E6C-9ED2-6352520F4832}"/>
    <cellStyle name="Comma 563 2 2" xfId="3899" xr:uid="{8B49C0FA-5B36-4EED-8572-2909AE810D7E}"/>
    <cellStyle name="Comma 563 3" xfId="2869" xr:uid="{C3EB1786-6545-448A-8F44-D44F76E67787}"/>
    <cellStyle name="Comma 563 4" xfId="4995" xr:uid="{5191D6FD-B446-409E-A257-86906B1D42C6}"/>
    <cellStyle name="Comma 564" xfId="804" xr:uid="{1DB85D85-261C-44BB-A04E-8B716724C38F}"/>
    <cellStyle name="Comma 564 2" xfId="1842" xr:uid="{756FD660-A744-4E2A-8E90-894EBB0CF5CC}"/>
    <cellStyle name="Comma 564 2 2" xfId="3900" xr:uid="{7C90B212-0644-4DD2-8D81-0D1E32C7883A}"/>
    <cellStyle name="Comma 564 3" xfId="2870" xr:uid="{23A3C47F-8441-42B3-8DC1-FC5567DBD158}"/>
    <cellStyle name="Comma 564 4" xfId="4996" xr:uid="{897842A7-F0A0-451A-A965-F39BD71B3DFB}"/>
    <cellStyle name="Comma 565" xfId="805" xr:uid="{7E67063B-F141-43B2-AEC6-0019D07AA715}"/>
    <cellStyle name="Comma 565 2" xfId="1843" xr:uid="{F95577A5-87F5-4B0D-A9CD-780624261176}"/>
    <cellStyle name="Comma 565 2 2" xfId="3901" xr:uid="{02C41A6C-2365-4D22-AC0F-989251C34E69}"/>
    <cellStyle name="Comma 565 3" xfId="2871" xr:uid="{BEB9D90A-1B53-4589-BC5B-4AC7C77781B9}"/>
    <cellStyle name="Comma 565 4" xfId="4997" xr:uid="{0DF128B9-0248-4D92-9C1D-CEA7A90F88B9}"/>
    <cellStyle name="Comma 566" xfId="806" xr:uid="{A30B849E-5268-4508-A291-5D129554C043}"/>
    <cellStyle name="Comma 566 2" xfId="1844" xr:uid="{D7569117-D445-4AE7-9458-0915C78E0D6B}"/>
    <cellStyle name="Comma 566 2 2" xfId="3902" xr:uid="{71F93D1B-05AD-464B-A3D8-EB2962A43BA6}"/>
    <cellStyle name="Comma 566 3" xfId="2872" xr:uid="{E3F78989-B153-4BCF-824D-0A679841096D}"/>
    <cellStyle name="Comma 566 4" xfId="4998" xr:uid="{445B5615-24A3-4584-963C-1ACF14E6884F}"/>
    <cellStyle name="Comma 567" xfId="807" xr:uid="{606447AA-D2F7-433D-98D3-A49C5DC23DD5}"/>
    <cellStyle name="Comma 567 2" xfId="1845" xr:uid="{E7283232-01D6-40EE-BB4A-2A9B80FA10BD}"/>
    <cellStyle name="Comma 567 2 2" xfId="3903" xr:uid="{1A13F67F-DFB0-4023-BECD-E3900000C915}"/>
    <cellStyle name="Comma 567 3" xfId="2873" xr:uid="{E8B55D10-9510-4BC4-98B6-B97EC36EE3F5}"/>
    <cellStyle name="Comma 567 4" xfId="4999" xr:uid="{31F57721-C555-474D-9F58-84E4D193818F}"/>
    <cellStyle name="Comma 568" xfId="808" xr:uid="{46F3E94D-EF4D-4E8D-9A4F-41171EB3082D}"/>
    <cellStyle name="Comma 568 2" xfId="1846" xr:uid="{5F163246-9398-42C7-9F2B-73803B8A42A2}"/>
    <cellStyle name="Comma 568 2 2" xfId="3904" xr:uid="{946EC1AC-7D9A-4D40-AAE2-8691DEE70A58}"/>
    <cellStyle name="Comma 568 3" xfId="2874" xr:uid="{F198EED9-56F2-448E-8169-1E49EE922D4D}"/>
    <cellStyle name="Comma 568 4" xfId="5000" xr:uid="{1002B2C0-0882-4D1B-8E4F-B9D8210334D4}"/>
    <cellStyle name="Comma 569" xfId="809" xr:uid="{C7512539-BB7F-4537-A7FE-29052AB09572}"/>
    <cellStyle name="Comma 569 2" xfId="1847" xr:uid="{3D87CB16-FF96-426E-AA6A-6CB9F065A704}"/>
    <cellStyle name="Comma 569 2 2" xfId="3905" xr:uid="{768DD51C-DDD6-4E35-AC3C-6FB7096EF3F0}"/>
    <cellStyle name="Comma 569 3" xfId="2875" xr:uid="{6834936D-A911-471F-8278-3D4193BFD216}"/>
    <cellStyle name="Comma 569 4" xfId="5001" xr:uid="{61202EE1-CB57-4818-BCA0-D03420FFEEF0}"/>
    <cellStyle name="Comma 57" xfId="257" xr:uid="{14C8D997-5937-4BE0-83BE-2F03D69DDBB4}"/>
    <cellStyle name="Comma 57 2" xfId="1335" xr:uid="{05AD2997-759C-4954-94CA-37DFAB9B8DFC}"/>
    <cellStyle name="Comma 57 2 2" xfId="3393" xr:uid="{612AD078-69E1-411F-8160-D2EFE6AFB3AB}"/>
    <cellStyle name="Comma 57 3" xfId="2363" xr:uid="{FB42A844-B111-4E0A-A8FC-D659025330B1}"/>
    <cellStyle name="Comma 57 4" xfId="4489" xr:uid="{7C2376D0-FE83-4EC4-AC2F-EC699603C248}"/>
    <cellStyle name="Comma 570" xfId="810" xr:uid="{D4EFA335-5E8A-4A6D-81CC-76414F2EE42C}"/>
    <cellStyle name="Comma 570 2" xfId="1848" xr:uid="{D99D69BB-7CFA-472C-87E5-51787F10C775}"/>
    <cellStyle name="Comma 570 2 2" xfId="3906" xr:uid="{21867342-9971-4CDC-9FDC-90CF381E44BE}"/>
    <cellStyle name="Comma 570 3" xfId="2876" xr:uid="{7BB87A3C-82DC-4DA9-95E8-97127AE0DF0B}"/>
    <cellStyle name="Comma 570 4" xfId="5002" xr:uid="{3292E57E-DB23-4AC3-8441-8FF57F5D6509}"/>
    <cellStyle name="Comma 571" xfId="811" xr:uid="{6F50F3F0-2F57-4671-8574-33439225288A}"/>
    <cellStyle name="Comma 571 2" xfId="1849" xr:uid="{924758F5-62F1-4DD6-9AF2-932EE3CE7742}"/>
    <cellStyle name="Comma 571 2 2" xfId="3907" xr:uid="{F50B0449-DB10-416D-93C8-541165AFB7D9}"/>
    <cellStyle name="Comma 571 3" xfId="2877" xr:uid="{887708DA-BAFD-43BF-9C54-0C1379BDF6A8}"/>
    <cellStyle name="Comma 571 4" xfId="5003" xr:uid="{DE29BE8F-0EA2-4D68-990C-73F2C95369B8}"/>
    <cellStyle name="Comma 572" xfId="812" xr:uid="{ECAD6E33-2944-4D3F-810C-FB186DC7DEC1}"/>
    <cellStyle name="Comma 572 2" xfId="1850" xr:uid="{1239D592-94B6-410B-B55B-1530C4DF4F1F}"/>
    <cellStyle name="Comma 572 2 2" xfId="3908" xr:uid="{721D68EC-D60F-4D93-851D-6D67DB7E3D23}"/>
    <cellStyle name="Comma 572 3" xfId="2878" xr:uid="{65642748-764F-461D-8416-A38222CB72AA}"/>
    <cellStyle name="Comma 572 4" xfId="5004" xr:uid="{BA5EAF37-AC5F-4245-AAF2-B7F86ADB4939}"/>
    <cellStyle name="Comma 573" xfId="813" xr:uid="{86C8CD0F-5C80-46A6-B0BC-91582395E946}"/>
    <cellStyle name="Comma 573 2" xfId="1851" xr:uid="{1C29D76F-3DA0-4586-9A4A-0BDD726589B2}"/>
    <cellStyle name="Comma 573 2 2" xfId="3909" xr:uid="{D28AEE86-7A0B-4468-B05D-ED9A8FB782FE}"/>
    <cellStyle name="Comma 573 3" xfId="2879" xr:uid="{0289D39D-A852-46C7-BECD-D622B5DA6DA6}"/>
    <cellStyle name="Comma 573 4" xfId="5005" xr:uid="{19812A30-6A88-456E-9550-651C38FFFBB3}"/>
    <cellStyle name="Comma 574" xfId="814" xr:uid="{CBFB4F89-9B4A-4CA5-92EE-AF27BA162484}"/>
    <cellStyle name="Comma 574 2" xfId="1852" xr:uid="{96612003-D0B7-4CFC-BA90-5EA5EACCBAE4}"/>
    <cellStyle name="Comma 574 2 2" xfId="3910" xr:uid="{E4A24762-1532-4E43-973C-6A59062AE891}"/>
    <cellStyle name="Comma 574 3" xfId="2880" xr:uid="{A6A32F64-78EB-44F8-BF6C-52F312ABC16F}"/>
    <cellStyle name="Comma 574 4" xfId="5006" xr:uid="{9CA86BF8-AD94-499C-8335-C1AAC1B51C65}"/>
    <cellStyle name="Comma 575" xfId="815" xr:uid="{8112CFF1-A80A-4A9C-83D1-6F5F8E507598}"/>
    <cellStyle name="Comma 575 2" xfId="1853" xr:uid="{523B8A68-1B09-433B-8F37-0795BAD79AEF}"/>
    <cellStyle name="Comma 575 2 2" xfId="3911" xr:uid="{CB1D2903-6363-4D04-A79C-C6806FE05807}"/>
    <cellStyle name="Comma 575 3" xfId="2881" xr:uid="{79EE2003-4173-44F3-81C9-B8C33BD5944F}"/>
    <cellStyle name="Comma 575 4" xfId="5007" xr:uid="{EBDCAF60-B31C-423B-979A-7D0C829AFB5A}"/>
    <cellStyle name="Comma 576" xfId="816" xr:uid="{0A9241B4-4556-44AA-9D14-80C66CBCA7A3}"/>
    <cellStyle name="Comma 576 2" xfId="1854" xr:uid="{2D5125B3-4E4C-4583-BC27-571795E15430}"/>
    <cellStyle name="Comma 576 2 2" xfId="3912" xr:uid="{27A4A745-CD23-4064-BEAC-9E5C15956430}"/>
    <cellStyle name="Comma 576 3" xfId="2882" xr:uid="{A514A408-7F85-4048-A64F-028A06F86516}"/>
    <cellStyle name="Comma 576 4" xfId="5008" xr:uid="{605F5C9C-F9EE-43EA-AE9B-A4303EEE47DE}"/>
    <cellStyle name="Comma 577" xfId="817" xr:uid="{B7F0B046-CEA7-4C28-815C-6C4D9A16B01A}"/>
    <cellStyle name="Comma 577 2" xfId="1855" xr:uid="{0410C8B7-98A1-4A03-A0CE-A62DFCE58C6E}"/>
    <cellStyle name="Comma 577 2 2" xfId="3913" xr:uid="{587D74FA-AE7C-4946-A1D6-7701F9E747B1}"/>
    <cellStyle name="Comma 577 3" xfId="2883" xr:uid="{59CD2BD6-3D5A-4337-AE8D-49EF69639FC9}"/>
    <cellStyle name="Comma 577 4" xfId="5009" xr:uid="{61F08090-B3E4-4B99-BD2D-88B987097EC6}"/>
    <cellStyle name="Comma 578" xfId="818" xr:uid="{D2386018-2B93-47D1-956A-60A59EFF947B}"/>
    <cellStyle name="Comma 578 2" xfId="1856" xr:uid="{D6D01355-A53D-4F31-AC70-0ED7B34802DF}"/>
    <cellStyle name="Comma 578 2 2" xfId="3914" xr:uid="{2EE9B108-2F36-4254-8EA3-AE6840C18F15}"/>
    <cellStyle name="Comma 578 3" xfId="2884" xr:uid="{C809E434-CCC9-49F1-A987-5ECC4B790EF5}"/>
    <cellStyle name="Comma 578 4" xfId="5010" xr:uid="{FA4715F1-4612-4AB0-B3C4-2AA2CFF3E6EA}"/>
    <cellStyle name="Comma 579" xfId="819" xr:uid="{58BC31A7-A7B8-4AA8-BF2E-D0D3A4D09B22}"/>
    <cellStyle name="Comma 579 2" xfId="1857" xr:uid="{8B140E20-3017-4AB9-81C0-09A1CFE17257}"/>
    <cellStyle name="Comma 579 2 2" xfId="3915" xr:uid="{8259B37B-82A7-4F0A-91D0-21BCEFF146D3}"/>
    <cellStyle name="Comma 579 3" xfId="2885" xr:uid="{89290705-FA85-4596-B427-167A4F9363D5}"/>
    <cellStyle name="Comma 579 4" xfId="5011" xr:uid="{EA59AC03-227B-4153-9A72-5AE3E1ECA21D}"/>
    <cellStyle name="Comma 58" xfId="259" xr:uid="{E7EE5760-0B79-4E61-B509-AEB6278DB012}"/>
    <cellStyle name="Comma 58 2" xfId="1336" xr:uid="{82D9A088-5141-425A-8135-69768E185F82}"/>
    <cellStyle name="Comma 58 2 2" xfId="3394" xr:uid="{85225671-58F3-48CA-925F-DC8B4A622262}"/>
    <cellStyle name="Comma 58 3" xfId="2364" xr:uid="{B0A932DC-4A88-44F3-89A9-8F92466F9E32}"/>
    <cellStyle name="Comma 58 4" xfId="4490" xr:uid="{EA735B4D-F019-4732-ADBB-F2FAB6164FF9}"/>
    <cellStyle name="Comma 580" xfId="820" xr:uid="{B99F33AD-6577-41CE-B1BA-3A79B60D7C11}"/>
    <cellStyle name="Comma 580 2" xfId="1858" xr:uid="{F4C32703-F484-4AFB-BB54-67D272841146}"/>
    <cellStyle name="Comma 580 2 2" xfId="3916" xr:uid="{AF56585A-1582-4E4A-BD34-FB2FECFABBC0}"/>
    <cellStyle name="Comma 580 3" xfId="2886" xr:uid="{32AB09EB-5D6D-49B4-9F06-3F1214F7FF45}"/>
    <cellStyle name="Comma 580 4" xfId="5012" xr:uid="{6E4B5E2B-CF55-4AA3-98B5-63C767832109}"/>
    <cellStyle name="Comma 581" xfId="821" xr:uid="{4B04A35A-9300-41FD-84CF-5D56E05A24F4}"/>
    <cellStyle name="Comma 581 2" xfId="1859" xr:uid="{F6123EF8-56BB-4C28-B7AC-A3D3EE9578BD}"/>
    <cellStyle name="Comma 581 2 2" xfId="3917" xr:uid="{14610047-D519-4057-A9AA-286704819B61}"/>
    <cellStyle name="Comma 581 3" xfId="2887" xr:uid="{747C3CFE-5D5F-4C46-AA9E-A08595B53D21}"/>
    <cellStyle name="Comma 581 4" xfId="5013" xr:uid="{3EA49237-E788-45EC-8765-F71458F27E7A}"/>
    <cellStyle name="Comma 582" xfId="822" xr:uid="{4DF3EA69-1A19-4F29-9471-84875059B97A}"/>
    <cellStyle name="Comma 582 2" xfId="1860" xr:uid="{C9C1BF98-3EAA-459C-880C-D90DFB7EF9DF}"/>
    <cellStyle name="Comma 582 2 2" xfId="3918" xr:uid="{F72A6D38-5E99-4E12-9510-452BF666A79E}"/>
    <cellStyle name="Comma 582 3" xfId="2888" xr:uid="{DC38C472-4D9C-412C-9B08-2B3F1AFF8FCC}"/>
    <cellStyle name="Comma 582 4" xfId="5014" xr:uid="{3B3F26B1-C516-4B76-8178-A79002D9F282}"/>
    <cellStyle name="Comma 583" xfId="823" xr:uid="{8A4E80CC-10F4-4299-A032-4208214716FE}"/>
    <cellStyle name="Comma 583 2" xfId="1861" xr:uid="{DEA32157-1D5D-45DA-AF10-5B968CCD6386}"/>
    <cellStyle name="Comma 583 2 2" xfId="3919" xr:uid="{657960E3-C5C2-4552-95C9-9E25D6EB6150}"/>
    <cellStyle name="Comma 583 3" xfId="2889" xr:uid="{320400A7-9303-4C24-B3EE-F57E6ABE2D01}"/>
    <cellStyle name="Comma 583 4" xfId="5015" xr:uid="{2A4691D6-500D-4708-A494-56F6DB01D9FF}"/>
    <cellStyle name="Comma 584" xfId="824" xr:uid="{692A0831-DDF5-47D3-B1AA-001124C819CA}"/>
    <cellStyle name="Comma 584 2" xfId="1862" xr:uid="{A0207FAF-B4A1-45BB-A61F-15DF53AF975A}"/>
    <cellStyle name="Comma 584 2 2" xfId="3920" xr:uid="{32F9C22D-E002-4E7D-9395-BD97B7ADAD77}"/>
    <cellStyle name="Comma 584 3" xfId="2890" xr:uid="{4C020042-EC85-4B48-8612-06A2FEBFDAF6}"/>
    <cellStyle name="Comma 584 4" xfId="5016" xr:uid="{363AF000-3AD3-4249-BF9E-CF86EBE06F92}"/>
    <cellStyle name="Comma 585" xfId="825" xr:uid="{B2FE4506-DD1F-4B83-928D-DA53318E80B3}"/>
    <cellStyle name="Comma 585 2" xfId="1863" xr:uid="{B9770308-8DFD-45B8-9E40-D210BC822A46}"/>
    <cellStyle name="Comma 585 2 2" xfId="3921" xr:uid="{53AAC32D-FCE0-49F4-BD14-527AD2B8B8AC}"/>
    <cellStyle name="Comma 585 3" xfId="2891" xr:uid="{5C6FB300-629A-4AA0-83E2-A383DEC9A190}"/>
    <cellStyle name="Comma 585 4" xfId="5017" xr:uid="{FA09DD7D-12FD-40AB-A2B6-7377FF8B9678}"/>
    <cellStyle name="Comma 586" xfId="826" xr:uid="{3F2D2184-E1E0-43D4-B60B-021A236CDFB7}"/>
    <cellStyle name="Comma 586 2" xfId="1864" xr:uid="{EB1A899B-52B2-4773-853E-21362E925875}"/>
    <cellStyle name="Comma 586 2 2" xfId="3922" xr:uid="{13EB7E1A-6D13-4BEA-A8AC-B5903B2C469F}"/>
    <cellStyle name="Comma 586 3" xfId="2892" xr:uid="{AA64BC96-7D9B-4BBD-8F3D-D642DA5D15A9}"/>
    <cellStyle name="Comma 586 4" xfId="5018" xr:uid="{768DF4D8-E077-4880-B2CF-6AE15DFFD74F}"/>
    <cellStyle name="Comma 587" xfId="827" xr:uid="{06F6F45E-5CB7-42DD-ABB8-EAFDF5DCD779}"/>
    <cellStyle name="Comma 587 2" xfId="1865" xr:uid="{C1D79F22-DD97-43C5-95B9-81F134B9E499}"/>
    <cellStyle name="Comma 587 2 2" xfId="3923" xr:uid="{D7DEF1F9-D87C-4833-9331-64371153CA24}"/>
    <cellStyle name="Comma 587 3" xfId="2893" xr:uid="{1DF279D9-8285-4476-BFA1-E96A76B6F179}"/>
    <cellStyle name="Comma 587 4" xfId="5019" xr:uid="{260DABB0-B4CE-47E2-AD4A-8CCA081708BD}"/>
    <cellStyle name="Comma 588" xfId="828" xr:uid="{156581FD-2271-45F4-89CA-9260E142CC92}"/>
    <cellStyle name="Comma 588 2" xfId="1866" xr:uid="{6EAA2CD7-A704-4C8A-9B29-445DD7D1552E}"/>
    <cellStyle name="Comma 588 2 2" xfId="3924" xr:uid="{FAB4B83D-A8CA-4527-B2E5-4A7418094030}"/>
    <cellStyle name="Comma 588 3" xfId="2894" xr:uid="{82724AFC-2792-48AE-996F-704A72377396}"/>
    <cellStyle name="Comma 588 4" xfId="5020" xr:uid="{A7AB743C-ACDF-422D-B6F1-058355C97EED}"/>
    <cellStyle name="Comma 589" xfId="829" xr:uid="{1216AAAB-59E4-4B38-A462-2CB75ABDD8BE}"/>
    <cellStyle name="Comma 589 2" xfId="1867" xr:uid="{D3DFD91F-AA6C-4685-A96F-0A2E872118E6}"/>
    <cellStyle name="Comma 589 2 2" xfId="3925" xr:uid="{714400A6-FE2E-49BF-B0EA-BAFC8EFCFC74}"/>
    <cellStyle name="Comma 589 3" xfId="2895" xr:uid="{11CDB2F8-24EF-4DF3-9467-B56DCADA38C8}"/>
    <cellStyle name="Comma 589 4" xfId="5021" xr:uid="{78BC5BC2-7850-40C1-8C5D-E44AD65E67B0}"/>
    <cellStyle name="Comma 59" xfId="260" xr:uid="{A7814672-0973-41B8-BAA3-39DA6330E6B4}"/>
    <cellStyle name="Comma 59 2" xfId="1337" xr:uid="{5DFB251B-E297-4521-9BA7-BD24427945BD}"/>
    <cellStyle name="Comma 59 2 2" xfId="3395" xr:uid="{3DD22F79-7E85-422A-92FD-F29C807CAE07}"/>
    <cellStyle name="Comma 59 3" xfId="2365" xr:uid="{AC88CC7A-B2D8-4082-B297-887A50A3C77E}"/>
    <cellStyle name="Comma 59 4" xfId="4491" xr:uid="{E4B9845E-AF67-4312-994C-EDA42042E895}"/>
    <cellStyle name="Comma 590" xfId="830" xr:uid="{5F93F5B8-356C-4781-9809-953FA6E9DB23}"/>
    <cellStyle name="Comma 590 2" xfId="1868" xr:uid="{542CAF52-AF07-49FB-9E95-F634472FF87D}"/>
    <cellStyle name="Comma 590 2 2" xfId="3926" xr:uid="{7322E2DC-435B-4F59-9F1C-4DAD6E0A80B3}"/>
    <cellStyle name="Comma 590 3" xfId="2896" xr:uid="{23E95379-72BD-491C-8024-78764F7EC795}"/>
    <cellStyle name="Comma 590 4" xfId="5022" xr:uid="{D7AADD72-C013-4130-8275-A720CB7050B8}"/>
    <cellStyle name="Comma 591" xfId="831" xr:uid="{2B29AAEB-6CA3-41AC-8192-600ABEEE99B5}"/>
    <cellStyle name="Comma 591 2" xfId="1869" xr:uid="{EE6E741B-E707-42A7-AC8A-9F302AF9E07B}"/>
    <cellStyle name="Comma 591 2 2" xfId="3927" xr:uid="{605E8AFC-8520-4F31-920F-34137F6E065E}"/>
    <cellStyle name="Comma 591 3" xfId="2897" xr:uid="{494E71F9-9DB2-40F3-B940-E7355DF62B50}"/>
    <cellStyle name="Comma 591 4" xfId="5023" xr:uid="{DD0DB046-5255-4425-9976-4D0E3462EB53}"/>
    <cellStyle name="Comma 592" xfId="832" xr:uid="{72373B19-5781-4F72-ACD3-381853F5984F}"/>
    <cellStyle name="Comma 592 2" xfId="1870" xr:uid="{97D1D50E-902E-4929-9762-E50F5DC83FBF}"/>
    <cellStyle name="Comma 592 2 2" xfId="3928" xr:uid="{FE00816F-04F8-43DD-B16D-B24002C170DC}"/>
    <cellStyle name="Comma 592 3" xfId="2898" xr:uid="{356C39CB-8330-4F1D-8586-0730D30A1CBE}"/>
    <cellStyle name="Comma 592 4" xfId="5024" xr:uid="{3AD041E4-C359-445A-95B3-ECE25D9D2DEF}"/>
    <cellStyle name="Comma 593" xfId="833" xr:uid="{8EA3B3D4-7AA5-4671-B6DF-997505EADAFA}"/>
    <cellStyle name="Comma 593 2" xfId="1871" xr:uid="{5367988B-9431-4869-89C3-C57CF27CAA3D}"/>
    <cellStyle name="Comma 593 2 2" xfId="3929" xr:uid="{4DF44DAA-76CA-4D4B-BA5B-71073D40D232}"/>
    <cellStyle name="Comma 593 3" xfId="2899" xr:uid="{BC7C575E-FEDB-4D16-9318-97099475C6E6}"/>
    <cellStyle name="Comma 593 4" xfId="5025" xr:uid="{2AA947EB-6B42-4266-980F-13B1F2C13E3E}"/>
    <cellStyle name="Comma 594" xfId="834" xr:uid="{A9F730E0-5C64-4E97-8639-85A10461AF00}"/>
    <cellStyle name="Comma 594 2" xfId="1872" xr:uid="{849DB5F2-8B9B-4789-A231-9F4B08EA5E12}"/>
    <cellStyle name="Comma 594 2 2" xfId="3930" xr:uid="{93083D3F-5B0F-4F70-843E-7D44373B9844}"/>
    <cellStyle name="Comma 594 3" xfId="2900" xr:uid="{91B91CD6-C4CA-47E7-B927-48B11FA8BA7C}"/>
    <cellStyle name="Comma 594 4" xfId="5026" xr:uid="{4D9CC01A-45BA-418E-975F-F3A0E2EA3D4A}"/>
    <cellStyle name="Comma 595" xfId="835" xr:uid="{AA942C3E-BAA9-42A2-94F2-CDCB88755681}"/>
    <cellStyle name="Comma 595 2" xfId="1873" xr:uid="{4628D169-E159-4981-9D01-A914618B5634}"/>
    <cellStyle name="Comma 595 2 2" xfId="3931" xr:uid="{B4049BC0-96D3-448E-86C7-422F320EB6BC}"/>
    <cellStyle name="Comma 595 3" xfId="2901" xr:uid="{317026BB-4617-48D3-A32E-DB8FD30F9B62}"/>
    <cellStyle name="Comma 595 4" xfId="5027" xr:uid="{D8AE6A67-26E8-44B9-9E8C-9BA01F2B6792}"/>
    <cellStyle name="Comma 596" xfId="836" xr:uid="{79FD4C2C-F0B8-47EE-8046-95B31F86C78D}"/>
    <cellStyle name="Comma 596 2" xfId="1874" xr:uid="{067AA190-A85C-4EE4-A199-77F84B6465D8}"/>
    <cellStyle name="Comma 596 2 2" xfId="3932" xr:uid="{46BDE9BB-7DE3-4477-9D9E-03642E8DB8E3}"/>
    <cellStyle name="Comma 596 3" xfId="2902" xr:uid="{00206922-4107-4F68-879B-34981FD1C6DC}"/>
    <cellStyle name="Comma 596 4" xfId="5028" xr:uid="{2195BE42-0ADD-4671-8C09-03EB135E19FE}"/>
    <cellStyle name="Comma 597" xfId="837" xr:uid="{623438D4-E9D6-4851-899E-3F7C7C99540C}"/>
    <cellStyle name="Comma 597 2" xfId="1875" xr:uid="{3E8696FA-4504-44B6-BCDF-3F4BB3722F31}"/>
    <cellStyle name="Comma 597 2 2" xfId="3933" xr:uid="{E6F8C7D2-0BCF-436C-9D14-13EEEDE7ECB1}"/>
    <cellStyle name="Comma 597 3" xfId="2903" xr:uid="{90A688F5-35CF-46A8-9814-A7964E909046}"/>
    <cellStyle name="Comma 597 4" xfId="5029" xr:uid="{740537AD-CC14-4626-A0A2-008577BD6156}"/>
    <cellStyle name="Comma 598" xfId="838" xr:uid="{EE6CF515-F719-4500-AC28-6561807329C1}"/>
    <cellStyle name="Comma 598 2" xfId="1876" xr:uid="{00A8D645-E747-4DC5-8568-BDE2E7454944}"/>
    <cellStyle name="Comma 598 2 2" xfId="3934" xr:uid="{5D9F3D38-5A05-49A2-B19E-BB42C5943E8F}"/>
    <cellStyle name="Comma 598 3" xfId="2904" xr:uid="{2C7DB900-D4EA-406D-AC5D-B0DB089F669F}"/>
    <cellStyle name="Comma 598 4" xfId="5030" xr:uid="{3614F939-6B53-46E0-8383-EAFC01F72F1B}"/>
    <cellStyle name="Comma 599" xfId="839" xr:uid="{42C29FD0-7C39-4831-A93E-5F86D311E604}"/>
    <cellStyle name="Comma 599 2" xfId="1877" xr:uid="{930C7991-536D-491F-B340-6E1C19AB943C}"/>
    <cellStyle name="Comma 599 2 2" xfId="3935" xr:uid="{3B6C79A3-C779-4474-B27D-F0CDBDFDF189}"/>
    <cellStyle name="Comma 599 3" xfId="2905" xr:uid="{85A6DAFD-7854-48B4-9D24-1F3A94E755CA}"/>
    <cellStyle name="Comma 599 4" xfId="5031" xr:uid="{133F8A47-8689-42E1-A9EE-49603FC76077}"/>
    <cellStyle name="Comma 6" xfId="198" xr:uid="{332186DF-4459-4909-BCC0-9838EC9BDD03}"/>
    <cellStyle name="Comma 6 2" xfId="1284" xr:uid="{C63834D8-AD16-4A7C-B09B-E2B070A944F5}"/>
    <cellStyle name="Comma 6 2 2" xfId="3342" xr:uid="{D6B3784F-A4C0-4C00-9B84-99731D08B6E3}"/>
    <cellStyle name="Comma 6 3" xfId="2312" xr:uid="{BA6B1806-D17D-441A-B8DF-9E349B803CBA}"/>
    <cellStyle name="Comma 6 4" xfId="4438" xr:uid="{1B82D1F8-9A76-4C43-8806-11269F3EE15F}"/>
    <cellStyle name="Comma 60" xfId="261" xr:uid="{64F7EFB7-CE43-4E4F-9C11-77CDD2660F84}"/>
    <cellStyle name="Comma 60 2" xfId="1338" xr:uid="{233B6E70-304D-4DE4-9921-9F065C379315}"/>
    <cellStyle name="Comma 60 2 2" xfId="3396" xr:uid="{4CDEBE86-CBCD-4818-8D34-1984E123E20C}"/>
    <cellStyle name="Comma 60 3" xfId="2366" xr:uid="{CF0A5F70-1C64-4246-A140-9A0457F7065E}"/>
    <cellStyle name="Comma 60 4" xfId="4492" xr:uid="{699B703D-BCB9-4CDB-A7E6-C8D61CD7FF80}"/>
    <cellStyle name="Comma 600" xfId="840" xr:uid="{94B1C7A2-4A6D-4B40-980B-78B1A3A80F70}"/>
    <cellStyle name="Comma 600 2" xfId="1878" xr:uid="{1452762F-3A0A-4B0B-AC6A-F080EFED8358}"/>
    <cellStyle name="Comma 600 2 2" xfId="3936" xr:uid="{D495B463-3FA8-407A-9DC3-418AA5262C17}"/>
    <cellStyle name="Comma 600 3" xfId="2906" xr:uid="{BC2F6DD4-BA45-4243-840C-64BC5577C798}"/>
    <cellStyle name="Comma 600 4" xfId="5032" xr:uid="{95DBAE8F-74BD-4F67-807A-FAD791C9C2AC}"/>
    <cellStyle name="Comma 601" xfId="841" xr:uid="{99C79628-522E-476A-A1C1-AF2D31CB201B}"/>
    <cellStyle name="Comma 601 2" xfId="1879" xr:uid="{4378FBDC-E778-41ED-9BF5-2544427CB606}"/>
    <cellStyle name="Comma 601 2 2" xfId="3937" xr:uid="{7DC682F7-AFBB-4242-A652-E6D84835662B}"/>
    <cellStyle name="Comma 601 3" xfId="2907" xr:uid="{39EE2037-C38F-49BC-A3D4-14C3B8DCA47F}"/>
    <cellStyle name="Comma 601 4" xfId="5033" xr:uid="{BDFA82FB-946D-4823-A7D7-F61D537E42E3}"/>
    <cellStyle name="Comma 602" xfId="842" xr:uid="{F9461B7E-ACD8-49F1-AA9F-3D2DA01E27FE}"/>
    <cellStyle name="Comma 602 2" xfId="1880" xr:uid="{FFD1F7E1-6BCE-47C6-B2DA-3FFBEEADACD6}"/>
    <cellStyle name="Comma 602 2 2" xfId="3938" xr:uid="{0B518556-310D-42F8-8B3E-1A51BE29F02E}"/>
    <cellStyle name="Comma 602 3" xfId="2908" xr:uid="{7C530DB4-E541-41D9-B4A1-06FD96457277}"/>
    <cellStyle name="Comma 602 4" xfId="5034" xr:uid="{1AA90A02-B4F6-4C61-92AC-73CAAADAD910}"/>
    <cellStyle name="Comma 603" xfId="843" xr:uid="{DCA60936-84BB-43C3-A961-0FCC04A608CC}"/>
    <cellStyle name="Comma 603 2" xfId="1881" xr:uid="{D6365328-40E3-4B40-8FA9-78599C14C0AE}"/>
    <cellStyle name="Comma 603 2 2" xfId="3939" xr:uid="{53698554-ACBD-4FFD-9C23-443087BD121F}"/>
    <cellStyle name="Comma 603 3" xfId="2909" xr:uid="{C298DAC1-2F49-4379-8684-3BD23F66F10C}"/>
    <cellStyle name="Comma 603 4" xfId="5035" xr:uid="{ED1A1BD5-93F7-488A-A1B0-9A2C981A36B2}"/>
    <cellStyle name="Comma 604" xfId="844" xr:uid="{389A0CED-E0B9-4B69-A8F2-78A7551C706B}"/>
    <cellStyle name="Comma 604 2" xfId="1882" xr:uid="{29F743B7-CB85-4625-A58A-18DA2F611A5D}"/>
    <cellStyle name="Comma 604 2 2" xfId="3940" xr:uid="{6B29DFC6-5C28-4922-920B-D0975884458F}"/>
    <cellStyle name="Comma 604 3" xfId="2910" xr:uid="{52F84D2F-092D-4B8D-8EBF-F6FF4EDBC0AA}"/>
    <cellStyle name="Comma 604 4" xfId="5036" xr:uid="{F01D4309-B459-47B1-A973-24085BF78B1B}"/>
    <cellStyle name="Comma 605" xfId="845" xr:uid="{54FCD890-6E53-445D-995B-D04A9D79DC2E}"/>
    <cellStyle name="Comma 605 2" xfId="1883" xr:uid="{81740826-F32F-457F-A7DD-1FC23CBAEBBD}"/>
    <cellStyle name="Comma 605 2 2" xfId="3941" xr:uid="{2DDFE1BD-F146-41A3-AC50-597D1E66962E}"/>
    <cellStyle name="Comma 605 3" xfId="2911" xr:uid="{E206EECF-7848-4426-8572-F166FE71998C}"/>
    <cellStyle name="Comma 605 4" xfId="5037" xr:uid="{6E0EF64E-2EF7-4235-A8EA-757BFBAF7549}"/>
    <cellStyle name="Comma 606" xfId="846" xr:uid="{B6DF7683-9767-4291-A46E-72370E272FA6}"/>
    <cellStyle name="Comma 606 2" xfId="1884" xr:uid="{8D334919-6DF2-4C11-A352-4D25FA405862}"/>
    <cellStyle name="Comma 606 2 2" xfId="3942" xr:uid="{A17CE969-64C1-43A5-A66E-4E13DA80634A}"/>
    <cellStyle name="Comma 606 3" xfId="2912" xr:uid="{4B8372C2-6681-4C83-B40E-013233907E93}"/>
    <cellStyle name="Comma 606 4" xfId="5038" xr:uid="{F83CD7C3-B7ED-43C8-9FEA-093A13581647}"/>
    <cellStyle name="Comma 607" xfId="847" xr:uid="{5A4DEDD3-0A95-4DF1-8549-CB565ED3A1B0}"/>
    <cellStyle name="Comma 607 2" xfId="1885" xr:uid="{78EEC697-EFE9-4037-AFD1-B587FDA56312}"/>
    <cellStyle name="Comma 607 2 2" xfId="3943" xr:uid="{E2F8DAC3-3DC6-402F-8FB1-BBCD3604EC6D}"/>
    <cellStyle name="Comma 607 3" xfId="2913" xr:uid="{78B74548-C17E-40F3-92A9-CF634BBC5B96}"/>
    <cellStyle name="Comma 607 4" xfId="5039" xr:uid="{03A0C25A-B754-45ED-A4DA-F8B1C5278BA4}"/>
    <cellStyle name="Comma 608" xfId="848" xr:uid="{5C9C0C07-F822-4637-A51B-8AD20D7C8B86}"/>
    <cellStyle name="Comma 608 2" xfId="1886" xr:uid="{ED4A9D82-002C-4B95-887E-3FD3935D69F1}"/>
    <cellStyle name="Comma 608 2 2" xfId="3944" xr:uid="{99C1270F-5144-43F0-8061-B0D75760C31F}"/>
    <cellStyle name="Comma 608 3" xfId="2914" xr:uid="{E869EE48-77D1-4F76-A7DB-DB80C38856EA}"/>
    <cellStyle name="Comma 608 4" xfId="5040" xr:uid="{580ADECE-9A2B-4F91-ABD3-7279DCD9BB97}"/>
    <cellStyle name="Comma 609" xfId="849" xr:uid="{F490A436-6DAB-4C23-8481-24863D3ACF0A}"/>
    <cellStyle name="Comma 609 2" xfId="1887" xr:uid="{B7C063EC-36A5-4C20-AC5D-EB9C76B9013B}"/>
    <cellStyle name="Comma 609 2 2" xfId="3945" xr:uid="{B961BEB5-D708-4F82-A267-482A19BEC506}"/>
    <cellStyle name="Comma 609 3" xfId="2915" xr:uid="{E1409823-15D5-4B19-B748-C99DC134D047}"/>
    <cellStyle name="Comma 609 4" xfId="5041" xr:uid="{23E9AF48-A352-4873-B54F-AD9197038A3E}"/>
    <cellStyle name="Comma 61" xfId="262" xr:uid="{00BCC727-0683-4164-87B0-C1C688C21361}"/>
    <cellStyle name="Comma 61 2" xfId="1339" xr:uid="{58DB7ABF-0158-44EA-98E8-2FB24BA4DC95}"/>
    <cellStyle name="Comma 61 2 2" xfId="3397" xr:uid="{DD3E7104-D233-4F30-9947-C61FF9DF33FB}"/>
    <cellStyle name="Comma 61 3" xfId="2367" xr:uid="{7A082A05-9C52-4A66-8F8B-7118A39DB3F9}"/>
    <cellStyle name="Comma 61 4" xfId="4493" xr:uid="{DAAEC7F6-7836-4DCD-832D-55417A408D6A}"/>
    <cellStyle name="Comma 610" xfId="850" xr:uid="{01E45C70-F4B8-45ED-82A5-A6D8275C0D60}"/>
    <cellStyle name="Comma 610 2" xfId="1888" xr:uid="{BD715D0A-3E42-4B4C-AECF-ECE9B105F6A2}"/>
    <cellStyle name="Comma 610 2 2" xfId="3946" xr:uid="{56BDA74E-2F02-41EB-A195-032A6FEB2A24}"/>
    <cellStyle name="Comma 610 3" xfId="2916" xr:uid="{A9076203-AD54-4D77-A636-922FE6D8C59F}"/>
    <cellStyle name="Comma 610 4" xfId="5042" xr:uid="{EFDA6785-6827-4D32-8B5D-1835BDA97E30}"/>
    <cellStyle name="Comma 611" xfId="851" xr:uid="{3381BBBE-13D2-4EB7-9D1F-C958925CE026}"/>
    <cellStyle name="Comma 611 2" xfId="1889" xr:uid="{B2D0602B-4345-4638-93E1-F2EB892998DE}"/>
    <cellStyle name="Comma 611 2 2" xfId="3947" xr:uid="{202083D3-0A7D-460E-ADB4-AA68C499FEBE}"/>
    <cellStyle name="Comma 611 3" xfId="2917" xr:uid="{EE9270C6-007E-4860-8FD0-FF169B13B7FA}"/>
    <cellStyle name="Comma 611 4" xfId="5043" xr:uid="{6B1DEC88-09FD-4804-A291-116717B58047}"/>
    <cellStyle name="Comma 612" xfId="852" xr:uid="{DB8C8777-F868-44AC-9F1F-437A3099C957}"/>
    <cellStyle name="Comma 612 2" xfId="1890" xr:uid="{5D150FDE-B37F-4943-BF59-062C6DF58A31}"/>
    <cellStyle name="Comma 612 2 2" xfId="3948" xr:uid="{0999D6D0-C475-470F-8373-672908AA0C4B}"/>
    <cellStyle name="Comma 612 3" xfId="2918" xr:uid="{6AF16371-55C8-4ED5-9119-DEAE2C0F6CBF}"/>
    <cellStyle name="Comma 612 4" xfId="5044" xr:uid="{413F9BD8-8E7D-4AD5-8986-B26EF5351741}"/>
    <cellStyle name="Comma 613" xfId="853" xr:uid="{3EEEA17B-7977-40E5-BCAC-A0F585E5D947}"/>
    <cellStyle name="Comma 613 2" xfId="1891" xr:uid="{D20C8966-82D9-4B3A-B3DC-74BDB0C0FFC4}"/>
    <cellStyle name="Comma 613 2 2" xfId="3949" xr:uid="{DAE1875B-0AFD-428E-8FF6-5ADEA174E236}"/>
    <cellStyle name="Comma 613 3" xfId="2919" xr:uid="{E17B7E4B-9D03-4CB4-90CB-205C22A299A0}"/>
    <cellStyle name="Comma 613 4" xfId="5045" xr:uid="{46DD8A36-B8D0-4056-A43E-879E215747E8}"/>
    <cellStyle name="Comma 614" xfId="854" xr:uid="{8C5C727C-7BCE-4B57-B2B2-C542580F0186}"/>
    <cellStyle name="Comma 614 2" xfId="1892" xr:uid="{CEE7613B-2001-4B64-9FF6-808C1CCCB789}"/>
    <cellStyle name="Comma 614 2 2" xfId="3950" xr:uid="{9D570F29-A291-41FC-BF98-2530D7350D2B}"/>
    <cellStyle name="Comma 614 3" xfId="2920" xr:uid="{BB581476-0733-44C0-ACF2-31CCA2275B7D}"/>
    <cellStyle name="Comma 614 4" xfId="5046" xr:uid="{B706F550-7AAA-4ABC-9A79-B29D3233BF06}"/>
    <cellStyle name="Comma 615" xfId="855" xr:uid="{F7B04A63-285F-4CDC-A87B-6819A7B63758}"/>
    <cellStyle name="Comma 615 2" xfId="1893" xr:uid="{DD496868-7453-4EB2-9827-05FB37C45B98}"/>
    <cellStyle name="Comma 615 2 2" xfId="3951" xr:uid="{5097BF90-56F1-4D79-A084-1DA6B88E054A}"/>
    <cellStyle name="Comma 615 3" xfId="2921" xr:uid="{E4007801-4DCB-4B86-87FD-9BDD92405A04}"/>
    <cellStyle name="Comma 615 4" xfId="5047" xr:uid="{B4D1A920-70F7-4B05-88AE-F48F3EF54614}"/>
    <cellStyle name="Comma 616" xfId="856" xr:uid="{46F031EA-6381-4878-B5D0-666B7C07DBB3}"/>
    <cellStyle name="Comma 616 2" xfId="1894" xr:uid="{B357E784-7D42-4173-96D6-820485C5EFAF}"/>
    <cellStyle name="Comma 616 2 2" xfId="3952" xr:uid="{FE34FD67-9426-4781-95BA-81ECEF3864B8}"/>
    <cellStyle name="Comma 616 3" xfId="2922" xr:uid="{C8C4CBF2-4F55-4D70-B7AE-A65C6F449D19}"/>
    <cellStyle name="Comma 616 4" xfId="5048" xr:uid="{0269C93E-B248-4226-A047-A63D2B7323B5}"/>
    <cellStyle name="Comma 617" xfId="857" xr:uid="{8D960D17-CAE2-4D9E-AC82-529DCB572420}"/>
    <cellStyle name="Comma 617 2" xfId="1895" xr:uid="{495832FA-834C-49EA-94E5-D25CF3A8D1A1}"/>
    <cellStyle name="Comma 617 2 2" xfId="3953" xr:uid="{F025E107-839C-4047-86FD-4423B3D5EB12}"/>
    <cellStyle name="Comma 617 3" xfId="2923" xr:uid="{50C45E80-487E-46D1-BB47-16853B1FAC9E}"/>
    <cellStyle name="Comma 617 4" xfId="5049" xr:uid="{82DE6A00-7093-46F9-A737-B87A128D37F5}"/>
    <cellStyle name="Comma 618" xfId="858" xr:uid="{6A4F2B1C-C5DA-4C1B-85FE-9DD4BBE2878C}"/>
    <cellStyle name="Comma 618 2" xfId="1896" xr:uid="{A2ECEF52-36DE-43BB-9AB8-1BDAA2B6DA76}"/>
    <cellStyle name="Comma 618 2 2" xfId="3954" xr:uid="{184A7241-4C36-40C7-94DF-2F811F938D7E}"/>
    <cellStyle name="Comma 618 3" xfId="2924" xr:uid="{C24061D7-E519-4525-8CD5-7231F954DF07}"/>
    <cellStyle name="Comma 618 4" xfId="5050" xr:uid="{4C41F2AC-FD05-4614-A901-88AF4B0D80EC}"/>
    <cellStyle name="Comma 619" xfId="859" xr:uid="{2E75272D-76C8-406C-8E7C-B8B733E70798}"/>
    <cellStyle name="Comma 619 2" xfId="1897" xr:uid="{2675DE5C-FA48-4CDA-A383-F4270BE063F6}"/>
    <cellStyle name="Comma 619 2 2" xfId="3955" xr:uid="{CFA636D5-66B0-4EB7-A253-483FFD75F62F}"/>
    <cellStyle name="Comma 619 3" xfId="2925" xr:uid="{06ACD6C5-3C58-4D25-A036-0AFDAD1D00B9}"/>
    <cellStyle name="Comma 619 4" xfId="5051" xr:uid="{E196F6C2-7BAD-47D9-A8AE-C994A3E45209}"/>
    <cellStyle name="Comma 62" xfId="263" xr:uid="{D958420D-F31E-464E-B1F9-BB9FAB82CED9}"/>
    <cellStyle name="Comma 62 2" xfId="1340" xr:uid="{AC05D504-F5E0-4648-8BB9-41BFF82BE255}"/>
    <cellStyle name="Comma 62 2 2" xfId="3398" xr:uid="{841BAA19-6043-479D-8234-05C21850A2D8}"/>
    <cellStyle name="Comma 62 3" xfId="2368" xr:uid="{2A3C2847-929E-48A4-A544-608747B2974D}"/>
    <cellStyle name="Comma 62 4" xfId="4494" xr:uid="{99DFA02A-FA37-4176-8E4A-A9EBD4A68DEE}"/>
    <cellStyle name="Comma 620" xfId="860" xr:uid="{628101E7-E4E5-41A7-BF19-AB0A2BA43A50}"/>
    <cellStyle name="Comma 620 2" xfId="1898" xr:uid="{BFF5CF01-BF73-455A-A6EF-3E68F72A7A59}"/>
    <cellStyle name="Comma 620 2 2" xfId="3956" xr:uid="{60E216FE-B2FB-437B-A2A2-6970DB58328D}"/>
    <cellStyle name="Comma 620 3" xfId="2926" xr:uid="{1A727141-502F-448A-B2A9-E7B62FBDC8F4}"/>
    <cellStyle name="Comma 620 4" xfId="5052" xr:uid="{A69F2BB7-020C-4A2D-8AB0-F91306A2B7B3}"/>
    <cellStyle name="Comma 621" xfId="861" xr:uid="{3345AF4F-E8C7-4C70-8B4C-9C759D86C601}"/>
    <cellStyle name="Comma 621 2" xfId="1899" xr:uid="{9527B947-609B-4DDE-94B1-A705354526EB}"/>
    <cellStyle name="Comma 621 2 2" xfId="3957" xr:uid="{3D7D904F-3D87-4407-BE54-65938625A947}"/>
    <cellStyle name="Comma 621 3" xfId="2927" xr:uid="{AF84FEDD-0563-435F-9754-90444100E308}"/>
    <cellStyle name="Comma 621 4" xfId="5053" xr:uid="{D37106E2-DA64-44AC-8D2B-863F35743662}"/>
    <cellStyle name="Comma 622" xfId="862" xr:uid="{5D4F8F71-4BCB-4A45-8BCB-87D885BAB40F}"/>
    <cellStyle name="Comma 622 2" xfId="1900" xr:uid="{AC86AAB0-9DEF-4762-B941-ED1497530235}"/>
    <cellStyle name="Comma 622 2 2" xfId="3958" xr:uid="{46189A14-79BA-42AD-804B-DBF94B41CE2E}"/>
    <cellStyle name="Comma 622 3" xfId="2928" xr:uid="{5AB828A2-A659-4ADA-9C01-A64FA91E677B}"/>
    <cellStyle name="Comma 622 4" xfId="5054" xr:uid="{5E47752A-43FE-463E-BE30-F3592FFBE628}"/>
    <cellStyle name="Comma 623" xfId="863" xr:uid="{CFE8AB84-CF64-42B1-9E04-17539827338A}"/>
    <cellStyle name="Comma 623 2" xfId="1901" xr:uid="{6A709C4E-291C-4635-911A-7A564CCC6FFD}"/>
    <cellStyle name="Comma 623 2 2" xfId="3959" xr:uid="{088D9797-F2CF-4125-AC3C-8D9982CF0759}"/>
    <cellStyle name="Comma 623 3" xfId="2929" xr:uid="{266FCBC0-994F-418C-ACF0-95CA43D1AFF5}"/>
    <cellStyle name="Comma 623 4" xfId="5055" xr:uid="{EB0BF4EF-5A29-42BF-BEB4-99E6F3AC37A6}"/>
    <cellStyle name="Comma 624" xfId="864" xr:uid="{5FD02CEF-380A-432F-AB88-457ED77A14B9}"/>
    <cellStyle name="Comma 624 2" xfId="1902" xr:uid="{8839EB73-F405-44B1-B6F6-1DC42B8FE79E}"/>
    <cellStyle name="Comma 624 2 2" xfId="3960" xr:uid="{18F54A89-6F67-446C-97EC-993859D80A43}"/>
    <cellStyle name="Comma 624 3" xfId="2930" xr:uid="{989B557B-272A-4ED2-86A8-A8B02C6E003C}"/>
    <cellStyle name="Comma 624 4" xfId="5056" xr:uid="{9ABFD037-EE8D-4C87-AD87-8E76322B6782}"/>
    <cellStyle name="Comma 625" xfId="865" xr:uid="{AF3EE04B-0BAC-491A-BC74-414A2DFD93C2}"/>
    <cellStyle name="Comma 625 2" xfId="1903" xr:uid="{19E750F5-0481-4D83-8B78-F97333095776}"/>
    <cellStyle name="Comma 625 2 2" xfId="3961" xr:uid="{55ACD2A5-32CD-45AA-9103-F8FC0A602C8F}"/>
    <cellStyle name="Comma 625 3" xfId="2931" xr:uid="{D19ADAB3-B6F2-4737-B003-1F85D133C693}"/>
    <cellStyle name="Comma 625 4" xfId="5057" xr:uid="{F8F3DF8B-CCB3-4E49-A46F-E9109508F320}"/>
    <cellStyle name="Comma 626" xfId="866" xr:uid="{4DC1F3AC-2431-49B0-B97A-B0554DF9C68A}"/>
    <cellStyle name="Comma 626 2" xfId="1904" xr:uid="{AAEC50B7-1BEA-4AA7-BEDE-53FC53AFF8DE}"/>
    <cellStyle name="Comma 626 2 2" xfId="3962" xr:uid="{1DDEEA70-DC60-49CC-ABD5-F1929A488362}"/>
    <cellStyle name="Comma 626 3" xfId="2932" xr:uid="{3624F5C5-4407-4EE4-A497-B1CCEC7C582E}"/>
    <cellStyle name="Comma 626 4" xfId="5058" xr:uid="{818CF6E9-26B6-4715-8A4C-F5B104E3D244}"/>
    <cellStyle name="Comma 627" xfId="867" xr:uid="{A3EF553D-F61A-4586-A36E-C698AA1BC8CF}"/>
    <cellStyle name="Comma 627 2" xfId="1905" xr:uid="{6CFD0819-78EB-40EC-B48B-91C37946B316}"/>
    <cellStyle name="Comma 627 2 2" xfId="3963" xr:uid="{98AA48DB-48A5-4DB3-9DF9-9CB482F23D80}"/>
    <cellStyle name="Comma 627 3" xfId="2933" xr:uid="{27C88B99-A32B-4A0B-9205-A4BF15EA3C35}"/>
    <cellStyle name="Comma 627 4" xfId="5059" xr:uid="{D15A22A8-CA91-49FC-88F9-B30178862F52}"/>
    <cellStyle name="Comma 628" xfId="868" xr:uid="{B9FA9BCE-983F-4FB1-AAFD-C9721AD10421}"/>
    <cellStyle name="Comma 628 2" xfId="1906" xr:uid="{3F98441F-D6E0-4EDC-813F-09E54F7CC035}"/>
    <cellStyle name="Comma 628 2 2" xfId="3964" xr:uid="{9185F834-C08F-4278-9508-9DD1EC01CDD4}"/>
    <cellStyle name="Comma 628 3" xfId="2934" xr:uid="{C5B52775-D6C7-4D94-BF72-9F04CABDB2CC}"/>
    <cellStyle name="Comma 628 4" xfId="5060" xr:uid="{44FF20AD-B4A1-4489-9A18-4CA114E227DB}"/>
    <cellStyle name="Comma 629" xfId="869" xr:uid="{030C46E9-4829-4B9F-A98A-4BCD93466A23}"/>
    <cellStyle name="Comma 629 2" xfId="1907" xr:uid="{2B48B6C2-1406-4697-91B3-A8F2C3881B09}"/>
    <cellStyle name="Comma 629 2 2" xfId="3965" xr:uid="{6E725B78-F74B-497E-BBC3-0F4187A589B8}"/>
    <cellStyle name="Comma 629 3" xfId="2935" xr:uid="{635C7844-B1BD-47A6-9728-603BAE718BE9}"/>
    <cellStyle name="Comma 629 4" xfId="5061" xr:uid="{5646DC56-8160-45A8-8338-B04D2ED9F592}"/>
    <cellStyle name="Comma 63" xfId="264" xr:uid="{8FD3EB95-802A-45D5-82B6-BB8E238BEC05}"/>
    <cellStyle name="Comma 63 2" xfId="1341" xr:uid="{D6079E74-F9F2-4347-8466-09A9E34DA856}"/>
    <cellStyle name="Comma 63 2 2" xfId="3399" xr:uid="{0A212C7D-F574-4DEE-9AB7-36732B53B0FA}"/>
    <cellStyle name="Comma 63 3" xfId="2369" xr:uid="{CEE86877-441B-4E16-A5B0-AF517CF828EC}"/>
    <cellStyle name="Comma 63 4" xfId="4495" xr:uid="{3DC5B3D6-E4C3-4242-99B1-EA4AFF792392}"/>
    <cellStyle name="Comma 630" xfId="870" xr:uid="{85C8E7BE-07EB-49AD-9A07-B85D9E785A80}"/>
    <cellStyle name="Comma 630 2" xfId="1908" xr:uid="{D72AA508-7988-4DA7-8EB2-72B19C6B1A7A}"/>
    <cellStyle name="Comma 630 2 2" xfId="3966" xr:uid="{7EBF0B49-1447-4093-A64F-0FCEB2D38CEC}"/>
    <cellStyle name="Comma 630 3" xfId="2936" xr:uid="{F2E61F73-6FA7-4A3F-AE87-3750E1950F38}"/>
    <cellStyle name="Comma 630 4" xfId="5062" xr:uid="{B6933A04-437F-49EE-8AF0-3484FEB80EC1}"/>
    <cellStyle name="Comma 631" xfId="871" xr:uid="{61D0B67E-6D3C-4BA3-98E1-AA9DD2B96764}"/>
    <cellStyle name="Comma 631 2" xfId="1909" xr:uid="{4DE57AF2-7702-4375-8E00-A07FE3D289FC}"/>
    <cellStyle name="Comma 631 2 2" xfId="3967" xr:uid="{4F2400A3-EA13-4757-8B0E-C51152F0EDBB}"/>
    <cellStyle name="Comma 631 3" xfId="2937" xr:uid="{0FEDBB7D-F4E2-4AF7-B1DB-2EEF0A9F792A}"/>
    <cellStyle name="Comma 631 4" xfId="5063" xr:uid="{63DDB6F7-480D-420F-800B-4214A4DEE7DC}"/>
    <cellStyle name="Comma 632" xfId="872" xr:uid="{01E1E421-D257-4EB9-8CD6-095D1FD3BAFF}"/>
    <cellStyle name="Comma 632 2" xfId="1910" xr:uid="{9FED6D14-3E38-4961-97CF-7FD486C2040C}"/>
    <cellStyle name="Comma 632 2 2" xfId="3968" xr:uid="{A9E5DF9D-FD89-4D8C-8AAA-0C27DACEEB67}"/>
    <cellStyle name="Comma 632 3" xfId="2938" xr:uid="{B3388841-4A40-4D64-9C15-33C267070E51}"/>
    <cellStyle name="Comma 632 4" xfId="5064" xr:uid="{AC40DE97-636F-412F-AA30-A6BED1500AF8}"/>
    <cellStyle name="Comma 633" xfId="873" xr:uid="{D460746E-9C7E-429F-97B1-7A212B754EEE}"/>
    <cellStyle name="Comma 633 2" xfId="1911" xr:uid="{9F76FB0C-10B9-46D4-A0A4-4D1C6C5D64B5}"/>
    <cellStyle name="Comma 633 2 2" xfId="3969" xr:uid="{D7311ED9-3B32-4844-AF0E-1372A156D48A}"/>
    <cellStyle name="Comma 633 3" xfId="2939" xr:uid="{F7A3E552-6E09-4C86-9476-DE4ACCE965F5}"/>
    <cellStyle name="Comma 633 4" xfId="5065" xr:uid="{20B09A82-AF30-412A-99D2-734512E638A1}"/>
    <cellStyle name="Comma 634" xfId="874" xr:uid="{4A61E18C-1598-4844-80EC-F8AE78A98AB6}"/>
    <cellStyle name="Comma 634 2" xfId="1912" xr:uid="{59FE0F98-107D-4CC4-B27E-F8C183D2DA45}"/>
    <cellStyle name="Comma 634 2 2" xfId="3970" xr:uid="{2352BDD8-4024-4A32-9571-34B62140A7A6}"/>
    <cellStyle name="Comma 634 3" xfId="2940" xr:uid="{87A057A8-BDCD-452F-91C0-5CF7D9F126F1}"/>
    <cellStyle name="Comma 634 4" xfId="5066" xr:uid="{EEEB4C58-DD27-473A-B87A-0D24D6B069E3}"/>
    <cellStyle name="Comma 635" xfId="875" xr:uid="{A8EB3ADC-0CED-4B64-A66C-E05DEB4776F3}"/>
    <cellStyle name="Comma 635 2" xfId="1913" xr:uid="{561C5D8C-402C-4187-8A30-25EFEC8105AA}"/>
    <cellStyle name="Comma 635 2 2" xfId="3971" xr:uid="{EDC63BD6-8001-47BC-86B6-EA413F2626B7}"/>
    <cellStyle name="Comma 635 3" xfId="2941" xr:uid="{21A2714F-D6E0-4B07-BA47-8E44BAD27F0E}"/>
    <cellStyle name="Comma 635 4" xfId="5067" xr:uid="{77D8A934-EA31-4B12-A47B-EE02C3BF1254}"/>
    <cellStyle name="Comma 636" xfId="876" xr:uid="{57726D36-9CD7-4F19-BAC2-39CF8EA725BC}"/>
    <cellStyle name="Comma 636 2" xfId="1914" xr:uid="{84981713-3915-4F2D-917E-BD35E226C391}"/>
    <cellStyle name="Comma 636 2 2" xfId="3972" xr:uid="{A76AE428-9A98-468A-BCB5-058F260E115D}"/>
    <cellStyle name="Comma 636 3" xfId="2942" xr:uid="{554FC34B-79E7-4B73-9F62-7DEFB8408FA4}"/>
    <cellStyle name="Comma 636 4" xfId="5068" xr:uid="{936087B9-F7B2-4966-A152-E2B5657CA19F}"/>
    <cellStyle name="Comma 637" xfId="877" xr:uid="{5F357027-1B52-45F9-A2E9-D3D5FCBD579D}"/>
    <cellStyle name="Comma 637 2" xfId="1915" xr:uid="{A19CD71B-B8B1-4A4D-B631-DCCB28A7E3CC}"/>
    <cellStyle name="Comma 637 2 2" xfId="3973" xr:uid="{645E3A0B-C4AF-4A1E-8E39-F3313E7E3179}"/>
    <cellStyle name="Comma 637 3" xfId="2943" xr:uid="{0D74E07F-D84D-46F5-AA7F-6D369F198746}"/>
    <cellStyle name="Comma 637 4" xfId="5069" xr:uid="{05A018DC-2004-4A62-9F50-E333E6CE27C7}"/>
    <cellStyle name="Comma 638" xfId="878" xr:uid="{80758B0D-3C96-47CA-81CA-6BEA5DA94E73}"/>
    <cellStyle name="Comma 638 2" xfId="1916" xr:uid="{67189226-B148-4BC0-8383-2D25CA059F1A}"/>
    <cellStyle name="Comma 638 2 2" xfId="3974" xr:uid="{53A94E28-B88A-4C68-8D8F-3E8957D368C5}"/>
    <cellStyle name="Comma 638 3" xfId="2944" xr:uid="{EEEFB300-4164-450C-908B-FAD6804C85BA}"/>
    <cellStyle name="Comma 638 4" xfId="5070" xr:uid="{6868978D-1971-408F-B8CA-9FE762680AEC}"/>
    <cellStyle name="Comma 639" xfId="879" xr:uid="{D8B1E60A-EEAC-4430-87ED-FFFDFB6BE483}"/>
    <cellStyle name="Comma 639 2" xfId="1917" xr:uid="{0E798C3A-FFD0-4C50-AAB1-BC6FA1068F64}"/>
    <cellStyle name="Comma 639 2 2" xfId="3975" xr:uid="{1708A278-7623-446C-AE79-BD5445BF78A5}"/>
    <cellStyle name="Comma 639 3" xfId="2945" xr:uid="{2F8321F3-27B2-4FF7-AF5A-68C978B1E48E}"/>
    <cellStyle name="Comma 639 4" xfId="5071" xr:uid="{E3636411-77F5-411A-9049-D439D51B6C18}"/>
    <cellStyle name="Comma 64" xfId="265" xr:uid="{DF15C231-C6F6-4E61-BF59-865B41CC8FE6}"/>
    <cellStyle name="Comma 64 2" xfId="1342" xr:uid="{569BC52D-37EE-4CD9-AAA9-5B4A29113936}"/>
    <cellStyle name="Comma 64 2 2" xfId="3400" xr:uid="{E18374B9-8094-4F2B-AED1-32DB3B20AB20}"/>
    <cellStyle name="Comma 64 3" xfId="2370" xr:uid="{B11C9158-6A31-4C2C-A11D-AEC1B898E1DC}"/>
    <cellStyle name="Comma 64 4" xfId="4496" xr:uid="{6A6BD18F-C9F3-45ED-B776-D6EAE5466680}"/>
    <cellStyle name="Comma 640" xfId="880" xr:uid="{5AF8495A-3050-438A-AD14-709ACF146E27}"/>
    <cellStyle name="Comma 640 2" xfId="1918" xr:uid="{1020226A-D17E-49C5-B1CC-46444BD563EE}"/>
    <cellStyle name="Comma 640 2 2" xfId="3976" xr:uid="{1E895E38-2CCB-4E85-B135-CC45C455FC5C}"/>
    <cellStyle name="Comma 640 3" xfId="2946" xr:uid="{E6D79785-10B8-47A4-A3A9-831F3A9E9229}"/>
    <cellStyle name="Comma 640 4" xfId="5072" xr:uid="{02F802AC-72EA-4208-B720-69DB3AA06353}"/>
    <cellStyle name="Comma 641" xfId="881" xr:uid="{BF40E73D-3475-44A8-8FCA-B6B2BFF2E40B}"/>
    <cellStyle name="Comma 641 2" xfId="1919" xr:uid="{A0C1D7ED-0E8A-474B-8F34-7985EA3CD56E}"/>
    <cellStyle name="Comma 641 2 2" xfId="3977" xr:uid="{C2828748-3B14-4689-9198-C2C2F0D9AFDB}"/>
    <cellStyle name="Comma 641 3" xfId="2947" xr:uid="{268DDF80-C1F7-4703-AC7C-C4D52320EBA1}"/>
    <cellStyle name="Comma 641 4" xfId="5073" xr:uid="{E6B897C0-57AC-4070-9CA9-00706229ADAE}"/>
    <cellStyle name="Comma 642" xfId="882" xr:uid="{51E409B5-5FAB-4B82-AFA8-F8B14FF990C7}"/>
    <cellStyle name="Comma 642 2" xfId="1920" xr:uid="{4893E372-4F83-4DB0-BAF3-347FC5AB1AE2}"/>
    <cellStyle name="Comma 642 2 2" xfId="3978" xr:uid="{E7BC17DE-0E18-4349-A2B8-8C290FA2C2DE}"/>
    <cellStyle name="Comma 642 3" xfId="2948" xr:uid="{B7180279-25DA-4B3A-94A3-F3C904B6E23A}"/>
    <cellStyle name="Comma 642 4" xfId="5074" xr:uid="{4A2E8B45-DEEC-4B4E-A3B2-C19A14C8A4A5}"/>
    <cellStyle name="Comma 643" xfId="883" xr:uid="{C270FAF1-1E07-430B-A19B-5FAF35701BE1}"/>
    <cellStyle name="Comma 643 2" xfId="1921" xr:uid="{C1290406-879F-4BF9-A609-AFB8271A0199}"/>
    <cellStyle name="Comma 643 2 2" xfId="3979" xr:uid="{4E00449B-9877-4581-A882-0B7777C0DE3B}"/>
    <cellStyle name="Comma 643 3" xfId="2949" xr:uid="{C57B3694-8450-408C-B91B-716B85BC99BC}"/>
    <cellStyle name="Comma 643 4" xfId="5075" xr:uid="{A4B53DE2-745F-4C80-A1D5-72738FB26CD6}"/>
    <cellStyle name="Comma 644" xfId="884" xr:uid="{467CAB5D-778D-4AF1-9850-BDAEF9EC9233}"/>
    <cellStyle name="Comma 644 2" xfId="1922" xr:uid="{59CA17D3-04B1-483E-8C0C-14BF090CAFFE}"/>
    <cellStyle name="Comma 644 2 2" xfId="3980" xr:uid="{40BF80A3-8497-42FF-941E-526DBCB1E906}"/>
    <cellStyle name="Comma 644 3" xfId="2950" xr:uid="{0ED981CA-A540-4861-BED9-38D5DF1EB34F}"/>
    <cellStyle name="Comma 644 4" xfId="5076" xr:uid="{9565EB97-52E0-4647-81A6-89BD887229D9}"/>
    <cellStyle name="Comma 645" xfId="885" xr:uid="{CA6F2E30-6D0F-4CCD-9254-2960AAD3381E}"/>
    <cellStyle name="Comma 645 2" xfId="1923" xr:uid="{0336D4C1-42AF-45E4-89D7-438144C20D55}"/>
    <cellStyle name="Comma 645 2 2" xfId="3981" xr:uid="{11ADC584-2C6E-4FE6-B9B3-F30038AC9437}"/>
    <cellStyle name="Comma 645 3" xfId="2951" xr:uid="{2DBE379D-AEBA-4984-BE6D-DB555BEBE319}"/>
    <cellStyle name="Comma 645 4" xfId="5077" xr:uid="{C7C3B519-F210-4EC2-968A-952AE2800AA3}"/>
    <cellStyle name="Comma 646" xfId="886" xr:uid="{2A849CAE-693C-45CF-9183-18A1393BA7A4}"/>
    <cellStyle name="Comma 646 2" xfId="1924" xr:uid="{D95A3A7B-9AFB-4C45-B2BF-EBB58A20088C}"/>
    <cellStyle name="Comma 646 2 2" xfId="3982" xr:uid="{1196645F-BF1B-4857-AFB5-F5D7513B63D5}"/>
    <cellStyle name="Comma 646 3" xfId="2952" xr:uid="{1DC3F02D-FF53-44E5-8FE9-779D20D6F07E}"/>
    <cellStyle name="Comma 646 4" xfId="5078" xr:uid="{1F36FCF6-1FD0-4B33-A2A7-C92644D8EB55}"/>
    <cellStyle name="Comma 647" xfId="887" xr:uid="{4F8013EE-F341-4FE8-80AE-7E63228C713F}"/>
    <cellStyle name="Comma 647 2" xfId="1925" xr:uid="{0C4B70EF-3A34-4B50-B8C9-50A08832F912}"/>
    <cellStyle name="Comma 647 2 2" xfId="3983" xr:uid="{750F32BB-572B-442D-B156-57B14FAEEBDA}"/>
    <cellStyle name="Comma 647 3" xfId="2953" xr:uid="{DF321CF9-99AD-4E43-B3F8-4BF3E2F93914}"/>
    <cellStyle name="Comma 647 4" xfId="5079" xr:uid="{A4838BD2-9BE8-4126-98E7-AC28E13318B5}"/>
    <cellStyle name="Comma 648" xfId="888" xr:uid="{D43F0E4F-17F5-4566-94F3-C0A699C4F249}"/>
    <cellStyle name="Comma 648 2" xfId="1926" xr:uid="{C3A21021-BFBF-4C63-815C-27E4C6780663}"/>
    <cellStyle name="Comma 648 2 2" xfId="3984" xr:uid="{DBA8DCFA-260D-466A-8691-0E1049097D3E}"/>
    <cellStyle name="Comma 648 3" xfId="2954" xr:uid="{134AAB3D-B8AE-435B-AE60-DCAF5F9D3DD5}"/>
    <cellStyle name="Comma 648 4" xfId="5080" xr:uid="{7DE5EAE3-7B7D-45FE-8D87-AA681FE7E7AF}"/>
    <cellStyle name="Comma 649" xfId="889" xr:uid="{F3A0C54D-F278-45A4-98D4-4DCC2F9D2462}"/>
    <cellStyle name="Comma 649 2" xfId="1927" xr:uid="{E342076E-C159-4414-A223-38FB41BCF533}"/>
    <cellStyle name="Comma 649 2 2" xfId="3985" xr:uid="{E8BDAD3A-6ECB-4629-9CCE-F0073C3B1494}"/>
    <cellStyle name="Comma 649 3" xfId="2955" xr:uid="{3DB45C99-6096-47E8-99ED-95841655C969}"/>
    <cellStyle name="Comma 649 4" xfId="5081" xr:uid="{B56A485C-9EEF-4D3A-93C6-1705060761E3}"/>
    <cellStyle name="Comma 65" xfId="268" xr:uid="{077F919B-2B41-449C-B167-79224E0DBF9E}"/>
    <cellStyle name="Comma 65 2" xfId="1343" xr:uid="{EE3285C2-5AB2-410B-A70F-8A9E9C85E605}"/>
    <cellStyle name="Comma 65 2 2" xfId="3401" xr:uid="{04B876E6-F104-4499-A2A5-BF83BF289471}"/>
    <cellStyle name="Comma 65 3" xfId="2371" xr:uid="{9B511E8A-1852-40E5-9DCE-C50A6E7DE2D2}"/>
    <cellStyle name="Comma 65 4" xfId="4497" xr:uid="{B723F7CE-BF9D-4F2E-A8D1-0410A55C29FF}"/>
    <cellStyle name="Comma 650" xfId="890" xr:uid="{ABE84F33-D3F0-4889-9DD9-67152A00E492}"/>
    <cellStyle name="Comma 650 2" xfId="1928" xr:uid="{71CF128C-7F90-49DB-A644-DAE4788F6D0D}"/>
    <cellStyle name="Comma 650 2 2" xfId="3986" xr:uid="{44E347F1-49E7-4FA2-AFD0-441CF8271347}"/>
    <cellStyle name="Comma 650 3" xfId="2956" xr:uid="{0F4167EF-DDF4-4A21-B7D5-4D9770BD78C6}"/>
    <cellStyle name="Comma 650 4" xfId="5082" xr:uid="{3A397BB7-DF44-425E-B712-9F6F1BBCE554}"/>
    <cellStyle name="Comma 651" xfId="891" xr:uid="{BE150A37-7D94-417D-8CDE-28E2A86C1198}"/>
    <cellStyle name="Comma 651 2" xfId="1929" xr:uid="{F3ABD1E8-F812-4DFE-8EDC-3621F1F3E700}"/>
    <cellStyle name="Comma 651 2 2" xfId="3987" xr:uid="{1FFD15EC-3DDF-4AE3-96C4-D8AC7CFD977B}"/>
    <cellStyle name="Comma 651 3" xfId="2957" xr:uid="{FE51DB44-87CC-49C4-A057-E76387A1478A}"/>
    <cellStyle name="Comma 651 4" xfId="5083" xr:uid="{47981B9E-C26A-44CE-84F7-839A65ED4EC8}"/>
    <cellStyle name="Comma 652" xfId="892" xr:uid="{ECEE3729-3DD0-445F-8BD9-C014B7A23A01}"/>
    <cellStyle name="Comma 652 2" xfId="1930" xr:uid="{04454BE9-91EA-49AB-8960-8E4204F357E0}"/>
    <cellStyle name="Comma 652 2 2" xfId="3988" xr:uid="{CA872DFA-01CA-46CC-B393-3D2232838D3B}"/>
    <cellStyle name="Comma 652 3" xfId="2958" xr:uid="{2B72BB7A-5D50-4EDC-8C3A-DB5C5438FF2C}"/>
    <cellStyle name="Comma 652 4" xfId="5084" xr:uid="{91502305-2DAC-4672-9E16-5681BE88564B}"/>
    <cellStyle name="Comma 653" xfId="893" xr:uid="{0F6E2556-DD9C-4016-A747-835FE31D8C15}"/>
    <cellStyle name="Comma 653 2" xfId="1931" xr:uid="{2DB7ECFF-F2AF-4060-AFBA-7FB613A19235}"/>
    <cellStyle name="Comma 653 2 2" xfId="3989" xr:uid="{94C0F974-BF18-47F0-BF42-973715A5EDA9}"/>
    <cellStyle name="Comma 653 3" xfId="2959" xr:uid="{2A7C6E8D-DBD6-4C3C-B9F7-615E8EC86CB1}"/>
    <cellStyle name="Comma 653 4" xfId="5085" xr:uid="{BFBEC417-95BD-4D7E-AD9D-C51A9252042F}"/>
    <cellStyle name="Comma 654" xfId="894" xr:uid="{480C74FA-039E-477A-AA2A-E378CDFBFD7F}"/>
    <cellStyle name="Comma 654 2" xfId="1932" xr:uid="{660BD7E9-CFB5-413A-AD76-F70D6D0823BC}"/>
    <cellStyle name="Comma 654 2 2" xfId="3990" xr:uid="{990CEDC4-2CAC-418F-B1FC-31955B401135}"/>
    <cellStyle name="Comma 654 3" xfId="2960" xr:uid="{CFD5C0CE-3DC9-49EC-8CA8-0B6F4CB6B236}"/>
    <cellStyle name="Comma 654 4" xfId="5086" xr:uid="{01C1F827-377C-4FD5-B60D-DABEA58D95F8}"/>
    <cellStyle name="Comma 655" xfId="895" xr:uid="{FDBF8E3B-4771-4C59-97B2-54EDAFDB9FE5}"/>
    <cellStyle name="Comma 655 2" xfId="1933" xr:uid="{FF8C9BBE-0403-4AAD-9A01-16DEF71E60F4}"/>
    <cellStyle name="Comma 655 2 2" xfId="3991" xr:uid="{DDE2FFCF-DA4F-43B6-AD51-3FF9E7888595}"/>
    <cellStyle name="Comma 655 3" xfId="2961" xr:uid="{495979F6-7EC8-4546-B12D-E633581BB78C}"/>
    <cellStyle name="Comma 655 4" xfId="5087" xr:uid="{96EB8E78-1B09-413F-9ADC-74E3D69AC2C2}"/>
    <cellStyle name="Comma 656" xfId="896" xr:uid="{087687CE-D0C4-4FEE-8DF2-D2DFCBD60962}"/>
    <cellStyle name="Comma 656 2" xfId="1934" xr:uid="{EFB10129-A18C-43F7-82B5-30BE53423DF6}"/>
    <cellStyle name="Comma 656 2 2" xfId="3992" xr:uid="{61DA9276-A2EE-484E-B998-6A56712149A5}"/>
    <cellStyle name="Comma 656 3" xfId="2962" xr:uid="{2A5D9DB4-E245-4912-B2ED-5570CD326A6E}"/>
    <cellStyle name="Comma 656 4" xfId="5088" xr:uid="{60EC327E-81B4-4D42-917F-D9720AB0BEB6}"/>
    <cellStyle name="Comma 657" xfId="897" xr:uid="{608B7FC8-BE81-4975-AD88-1EF8849A690F}"/>
    <cellStyle name="Comma 657 2" xfId="1935" xr:uid="{C45A8374-869C-4CED-9671-32A54178E376}"/>
    <cellStyle name="Comma 657 2 2" xfId="3993" xr:uid="{61846462-19B6-4031-BEA0-72365DCF9BEB}"/>
    <cellStyle name="Comma 657 3" xfId="2963" xr:uid="{6D6ABCF5-6D84-4570-8173-E2301214B471}"/>
    <cellStyle name="Comma 657 4" xfId="5089" xr:uid="{431A75EA-AE5C-458B-B791-C500128C211B}"/>
    <cellStyle name="Comma 658" xfId="898" xr:uid="{A5458EE4-DCFB-4061-B565-78F4B3DC840F}"/>
    <cellStyle name="Comma 658 2" xfId="1936" xr:uid="{E9B441E3-32BD-4D24-ACAD-CEC02398DE96}"/>
    <cellStyle name="Comma 658 2 2" xfId="3994" xr:uid="{D2C1C64E-606B-4F34-9F91-0935C79F4193}"/>
    <cellStyle name="Comma 658 3" xfId="2964" xr:uid="{201E1F0A-F67F-482C-9BB2-186047E66CF9}"/>
    <cellStyle name="Comma 658 4" xfId="5090" xr:uid="{8599D5E4-4165-4C07-9F0B-6A85A33EB74A}"/>
    <cellStyle name="Comma 659" xfId="899" xr:uid="{9316FA47-B9CE-4A68-9128-86877AC63FA7}"/>
    <cellStyle name="Comma 659 2" xfId="1937" xr:uid="{3B670598-CEC1-4104-97E4-BAEB5E65BBEF}"/>
    <cellStyle name="Comma 659 2 2" xfId="3995" xr:uid="{98282A5C-9A04-4B51-8237-45ADCE8B09FD}"/>
    <cellStyle name="Comma 659 3" xfId="2965" xr:uid="{682A1529-3CD3-4898-81E8-BAF9EF2BF3A9}"/>
    <cellStyle name="Comma 659 4" xfId="5091" xr:uid="{6A565B07-9BC2-41EF-A936-7E3FB8238430}"/>
    <cellStyle name="Comma 66" xfId="269" xr:uid="{99E5653B-1A06-4EE0-A1E1-58E611108330}"/>
    <cellStyle name="Comma 66 2" xfId="1344" xr:uid="{C89EBBE5-AA62-4FB8-9669-625E73289C1E}"/>
    <cellStyle name="Comma 66 2 2" xfId="3402" xr:uid="{F574A18A-B417-41F7-95E5-631322DC1D39}"/>
    <cellStyle name="Comma 66 3" xfId="2372" xr:uid="{8F950BDC-AB03-47AC-80E4-FD078517D9E9}"/>
    <cellStyle name="Comma 66 4" xfId="4498" xr:uid="{0363B10C-2758-42E3-A293-90C83D7CB6BA}"/>
    <cellStyle name="Comma 660" xfId="900" xr:uid="{1A7EEA42-8343-4D2F-A9DF-686DC6C70FC1}"/>
    <cellStyle name="Comma 660 2" xfId="1938" xr:uid="{740D63EA-DFCE-4717-A7A4-37D1F5B25F14}"/>
    <cellStyle name="Comma 660 2 2" xfId="3996" xr:uid="{09DBE1D8-82E2-477A-A7E2-5DFADE173E1A}"/>
    <cellStyle name="Comma 660 3" xfId="2966" xr:uid="{A1A79693-B401-4AE1-BE3B-8D6B310EE564}"/>
    <cellStyle name="Comma 660 4" xfId="5092" xr:uid="{CFA8814E-D47D-4D3E-91FE-23FCF5B9BFC6}"/>
    <cellStyle name="Comma 661" xfId="901" xr:uid="{A5E63E93-C9ED-445F-896D-D07F40EE558C}"/>
    <cellStyle name="Comma 661 2" xfId="1939" xr:uid="{360718F0-FAB7-47F5-A406-F0354C9FD72A}"/>
    <cellStyle name="Comma 661 2 2" xfId="3997" xr:uid="{0B5D8ABE-54A6-4557-BA67-A6F1978C4784}"/>
    <cellStyle name="Comma 661 3" xfId="2967" xr:uid="{94DE2978-00CB-46E2-B770-AAB61331AC80}"/>
    <cellStyle name="Comma 661 4" xfId="5093" xr:uid="{375429C2-34DC-4E08-AEF9-9C9FFD7F1837}"/>
    <cellStyle name="Comma 662" xfId="902" xr:uid="{97BE077E-FCFC-4C68-AE35-37612C7930CD}"/>
    <cellStyle name="Comma 662 2" xfId="1940" xr:uid="{C5F8CF4C-3B86-4E4E-B37E-E32729A859D0}"/>
    <cellStyle name="Comma 662 2 2" xfId="3998" xr:uid="{E9852ED8-1314-47DA-B7FF-B722BC87EBC3}"/>
    <cellStyle name="Comma 662 3" xfId="2968" xr:uid="{6350F4C4-0E36-460D-A215-CDC9DE9B7B61}"/>
    <cellStyle name="Comma 662 4" xfId="5094" xr:uid="{C904518D-2CF9-4547-A7D7-735F46B646A7}"/>
    <cellStyle name="Comma 663" xfId="903" xr:uid="{C8BDEC8E-B135-4808-B528-84D6940E427B}"/>
    <cellStyle name="Comma 663 2" xfId="1941" xr:uid="{3D0C972A-9216-4A67-9133-D388D5FCC621}"/>
    <cellStyle name="Comma 663 2 2" xfId="3999" xr:uid="{BCCE0409-0B7D-4AA2-8F49-78B1B92D0ABA}"/>
    <cellStyle name="Comma 663 3" xfId="2969" xr:uid="{5D251B94-CB46-4CF4-B846-21374CAB57E0}"/>
    <cellStyle name="Comma 663 4" xfId="5095" xr:uid="{25C7B294-1629-48E6-9028-0DA8730AA529}"/>
    <cellStyle name="Comma 664" xfId="904" xr:uid="{28D1A59D-0756-4A94-A1D0-821E5C3003ED}"/>
    <cellStyle name="Comma 664 2" xfId="1942" xr:uid="{6333973A-E110-489F-AB66-B0FB7C235029}"/>
    <cellStyle name="Comma 664 2 2" xfId="4000" xr:uid="{36DDB59D-B7FA-4136-919D-241507B6AB47}"/>
    <cellStyle name="Comma 664 3" xfId="2970" xr:uid="{30A0B856-9C18-43A8-B0CF-7F6D9DB2E033}"/>
    <cellStyle name="Comma 664 4" xfId="5096" xr:uid="{AEFDBD2A-9D95-4040-9430-734CED39F371}"/>
    <cellStyle name="Comma 665" xfId="905" xr:uid="{6042F8F8-1EB2-4AFA-A7E4-5E6C457E4312}"/>
    <cellStyle name="Comma 665 2" xfId="1943" xr:uid="{B1FAE2EA-4D93-41C6-B8B0-66707C8BF517}"/>
    <cellStyle name="Comma 665 2 2" xfId="4001" xr:uid="{8BE88F4C-5A39-453D-9A3E-E5223D7E3EF5}"/>
    <cellStyle name="Comma 665 3" xfId="2971" xr:uid="{71D0A325-1312-4537-BA9C-241404151501}"/>
    <cellStyle name="Comma 665 4" xfId="5097" xr:uid="{86FD81BF-C1AF-40E1-9B01-D18D12BA08AB}"/>
    <cellStyle name="Comma 666" xfId="906" xr:uid="{6A999220-3474-4795-9138-EC7B9A989473}"/>
    <cellStyle name="Comma 666 2" xfId="1944" xr:uid="{2193544F-B745-40F1-B212-EE753C7B2A8D}"/>
    <cellStyle name="Comma 666 2 2" xfId="4002" xr:uid="{5FF888B9-B089-41B4-9217-7CAADB4A6631}"/>
    <cellStyle name="Comma 666 3" xfId="2972" xr:uid="{5FA165A4-1ED7-428C-A27B-2DC4A534B37E}"/>
    <cellStyle name="Comma 666 4" xfId="5098" xr:uid="{DE3D9301-7987-4284-8703-E6C37E86C2B8}"/>
    <cellStyle name="Comma 667" xfId="907" xr:uid="{CD22C50A-7247-4BD1-A95C-66D1C70EB881}"/>
    <cellStyle name="Comma 667 2" xfId="1945" xr:uid="{CC475A5B-0521-42A3-9A27-A76A35775E74}"/>
    <cellStyle name="Comma 667 2 2" xfId="4003" xr:uid="{5ED1FF0B-DB84-47EF-9BDB-2C9474C1770E}"/>
    <cellStyle name="Comma 667 3" xfId="2973" xr:uid="{3423439D-868D-4523-9729-15AF900D0E4B}"/>
    <cellStyle name="Comma 667 4" xfId="5099" xr:uid="{B0F621F4-FC69-4120-A941-249C5AA617E1}"/>
    <cellStyle name="Comma 668" xfId="908" xr:uid="{99B5816A-FEF1-4298-ACB7-854D0B87050A}"/>
    <cellStyle name="Comma 668 2" xfId="1946" xr:uid="{550A72FD-3FDF-4CE8-A075-CE2395E46BAC}"/>
    <cellStyle name="Comma 668 2 2" xfId="4004" xr:uid="{0D5C99D5-4859-4161-982A-C548009AFC0D}"/>
    <cellStyle name="Comma 668 3" xfId="2974" xr:uid="{A3EC553D-D325-4AC7-966D-AD82584E339B}"/>
    <cellStyle name="Comma 668 4" xfId="5100" xr:uid="{8C06B619-BE35-444F-A148-0E8D4FD766BD}"/>
    <cellStyle name="Comma 669" xfId="909" xr:uid="{52D2327B-3A71-4037-AADD-BFC9353B6C86}"/>
    <cellStyle name="Comma 669 2" xfId="1947" xr:uid="{538E5CD0-41A0-4724-91A9-93331F97C508}"/>
    <cellStyle name="Comma 669 2 2" xfId="4005" xr:uid="{0958743F-7E9F-4AEB-9E4C-D851E350E77D}"/>
    <cellStyle name="Comma 669 3" xfId="2975" xr:uid="{C81C89ED-4D10-4E4B-B83C-8B3D681FB674}"/>
    <cellStyle name="Comma 669 4" xfId="5101" xr:uid="{DC5E6E20-6302-4F50-8D87-B8D3A90D4646}"/>
    <cellStyle name="Comma 67" xfId="270" xr:uid="{69D5E901-2024-4BD5-983D-9FDCE7F0EA29}"/>
    <cellStyle name="Comma 67 2" xfId="1345" xr:uid="{F210575B-039F-491C-943B-3C229FEC42CF}"/>
    <cellStyle name="Comma 67 2 2" xfId="3403" xr:uid="{D9A26CA1-D90F-4BBF-A28E-1212BD3EF5F5}"/>
    <cellStyle name="Comma 67 3" xfId="2373" xr:uid="{C8E9DE94-078C-4C12-B883-1F54D0AEA7FA}"/>
    <cellStyle name="Comma 67 4" xfId="4499" xr:uid="{CD99369E-6444-4B44-96AF-B31A8DB5B06C}"/>
    <cellStyle name="Comma 670" xfId="910" xr:uid="{0B5A1ED8-0B19-498E-9D60-97B985A083A6}"/>
    <cellStyle name="Comma 670 2" xfId="1948" xr:uid="{DB114444-1AF3-46DA-B195-6AE5B13DDFE1}"/>
    <cellStyle name="Comma 670 2 2" xfId="4006" xr:uid="{4C4E92E9-F216-4F61-8704-F40DE46511AE}"/>
    <cellStyle name="Comma 670 3" xfId="2976" xr:uid="{C59C4247-D016-402C-9176-CF102510586B}"/>
    <cellStyle name="Comma 670 4" xfId="5102" xr:uid="{4D50F6A4-DC9C-470C-B233-114D3BDA1727}"/>
    <cellStyle name="Comma 671" xfId="911" xr:uid="{29DEBB46-10FB-4C74-A74F-D41DEA518FB7}"/>
    <cellStyle name="Comma 671 2" xfId="1949" xr:uid="{D116F57F-77BC-4CD8-A4AD-394C06830F99}"/>
    <cellStyle name="Comma 671 2 2" xfId="4007" xr:uid="{BE3CA3BC-4326-49F6-870A-899B5615416A}"/>
    <cellStyle name="Comma 671 3" xfId="2977" xr:uid="{E27EDF71-E475-4F26-BEB8-049529989EAF}"/>
    <cellStyle name="Comma 671 4" xfId="5103" xr:uid="{5A0C1F13-F930-4038-86A0-63B1310AABF2}"/>
    <cellStyle name="Comma 672" xfId="912" xr:uid="{64ADB63C-5922-4BCC-9A36-C3C3056A2D93}"/>
    <cellStyle name="Comma 672 2" xfId="1950" xr:uid="{7A2A56A5-4247-4A51-903D-66DC28D1BBA5}"/>
    <cellStyle name="Comma 672 2 2" xfId="4008" xr:uid="{03CCD24F-A0D4-4ADA-8353-EFD33DC54760}"/>
    <cellStyle name="Comma 672 3" xfId="2978" xr:uid="{23E7C6F6-AE53-4B7B-907E-479F2B1CD279}"/>
    <cellStyle name="Comma 672 4" xfId="5104" xr:uid="{50F90113-4B8E-4E9B-B7E0-389582D3A0FE}"/>
    <cellStyle name="Comma 673" xfId="913" xr:uid="{96CD7E50-EA22-41BB-B549-49F6D469AACB}"/>
    <cellStyle name="Comma 673 2" xfId="1951" xr:uid="{9F0699D3-2E4B-4433-BD26-D2E18DA38689}"/>
    <cellStyle name="Comma 673 2 2" xfId="4009" xr:uid="{CF42EDCF-4701-4E0D-AB57-0350B05DA952}"/>
    <cellStyle name="Comma 673 3" xfId="2979" xr:uid="{27152497-DB0D-4727-98E9-85ED4D07A619}"/>
    <cellStyle name="Comma 673 4" xfId="5105" xr:uid="{512048E8-4C4F-46CC-BCD0-86BC47988762}"/>
    <cellStyle name="Comma 674" xfId="914" xr:uid="{B5A6F970-C981-4B84-B6C9-BA66BA8100CA}"/>
    <cellStyle name="Comma 674 2" xfId="1952" xr:uid="{AAC585D3-4681-4018-8D5B-09E0FDA0C770}"/>
    <cellStyle name="Comma 674 2 2" xfId="4010" xr:uid="{80CE325F-27E9-4539-A82A-6F7D017C463D}"/>
    <cellStyle name="Comma 674 3" xfId="2980" xr:uid="{38BDA87D-0834-4EE8-8BED-240C4EE9D9A1}"/>
    <cellStyle name="Comma 674 4" xfId="5106" xr:uid="{F9937DF8-3E58-4299-A43B-C00B4C15228E}"/>
    <cellStyle name="Comma 675" xfId="915" xr:uid="{DB4083D8-1FEA-4386-9B16-1CE0261432E1}"/>
    <cellStyle name="Comma 675 2" xfId="1953" xr:uid="{A4E14A0C-DFE3-4BF0-BE8B-51F039F23EB5}"/>
    <cellStyle name="Comma 675 2 2" xfId="4011" xr:uid="{E53DAEB7-FA9D-4709-BEF0-4EB11F6AD18A}"/>
    <cellStyle name="Comma 675 3" xfId="2981" xr:uid="{CCCEEACA-32BB-4F98-883B-A1A0042B419D}"/>
    <cellStyle name="Comma 675 4" xfId="5107" xr:uid="{5018EBC1-D589-4FEF-9A13-E52B1D6DE5C1}"/>
    <cellStyle name="Comma 676" xfId="916" xr:uid="{B9CE3400-FC28-41EC-9403-A4F62DA80EBD}"/>
    <cellStyle name="Comma 676 2" xfId="1954" xr:uid="{D39E0C89-7D25-42B8-A597-6ACF23680A22}"/>
    <cellStyle name="Comma 676 2 2" xfId="4012" xr:uid="{545040BB-E282-47E5-843E-C02139FA8847}"/>
    <cellStyle name="Comma 676 3" xfId="2982" xr:uid="{3E6F9B8E-08AA-4415-A71F-1053C45AD169}"/>
    <cellStyle name="Comma 676 4" xfId="5108" xr:uid="{834CCE19-B305-47A0-804D-E7E0BE9FFA93}"/>
    <cellStyle name="Comma 677" xfId="917" xr:uid="{58894A1E-9658-4320-8FDF-81E5107DA506}"/>
    <cellStyle name="Comma 677 2" xfId="1955" xr:uid="{EC5701B4-A101-48D4-91BE-47EDEDC3BD2F}"/>
    <cellStyle name="Comma 677 2 2" xfId="4013" xr:uid="{AEAE34AA-E2EF-49EB-B772-F05C0A0AFDA8}"/>
    <cellStyle name="Comma 677 3" xfId="2983" xr:uid="{AC35EDD1-51D8-4B70-B938-DC888B5486CC}"/>
    <cellStyle name="Comma 677 4" xfId="5109" xr:uid="{CA8CD2B4-7E96-407B-AE82-24DBB8372719}"/>
    <cellStyle name="Comma 678" xfId="918" xr:uid="{E7088DFF-0D7E-44AA-9D1A-94ABC59349D5}"/>
    <cellStyle name="Comma 678 2" xfId="1956" xr:uid="{8A4E2259-4AA0-44CA-961C-D8376B87DFA7}"/>
    <cellStyle name="Comma 678 2 2" xfId="4014" xr:uid="{5B6365F4-AF66-4CBB-B74A-EFEBFAE6AE45}"/>
    <cellStyle name="Comma 678 3" xfId="2984" xr:uid="{F10CDB0C-1DC9-4ED0-87C4-965C8FA8E6C0}"/>
    <cellStyle name="Comma 678 4" xfId="5110" xr:uid="{30FAB751-07BB-47B7-96B3-22148A0C6B5B}"/>
    <cellStyle name="Comma 679" xfId="919" xr:uid="{1CCFF116-84B7-44B2-A17F-1CD9171D15E2}"/>
    <cellStyle name="Comma 679 2" xfId="1957" xr:uid="{BE03F11A-2B3A-4B58-B0ED-AFFDC7CF41E0}"/>
    <cellStyle name="Comma 679 2 2" xfId="4015" xr:uid="{6D864725-9C8C-4541-B445-2C439CDFABBA}"/>
    <cellStyle name="Comma 679 3" xfId="2985" xr:uid="{5625E9C2-AFE0-43D3-9F3B-5B080CBE8252}"/>
    <cellStyle name="Comma 679 4" xfId="5111" xr:uid="{77AFF78E-F249-46D1-910B-388F14FE134E}"/>
    <cellStyle name="Comma 68" xfId="271" xr:uid="{21F2C10F-148D-4447-AC9E-F0CBBC506D7A}"/>
    <cellStyle name="Comma 68 2" xfId="1346" xr:uid="{B6BA9136-395C-477A-A777-C476E1EABFFC}"/>
    <cellStyle name="Comma 68 2 2" xfId="3404" xr:uid="{D5D946DA-7BA6-478B-9B46-94714171D080}"/>
    <cellStyle name="Comma 68 3" xfId="2374" xr:uid="{971C01F5-B90B-4E65-8F48-42EE8816BC90}"/>
    <cellStyle name="Comma 68 4" xfId="4500" xr:uid="{171C9278-53AE-4B96-B270-32D38C3BC417}"/>
    <cellStyle name="Comma 680" xfId="920" xr:uid="{DA1D3552-C214-460F-9F55-0EAB621D883A}"/>
    <cellStyle name="Comma 680 2" xfId="1958" xr:uid="{7EBE22AA-96B5-4960-9271-AEEE8587B4A7}"/>
    <cellStyle name="Comma 680 2 2" xfId="4016" xr:uid="{8AC61B64-755E-4ED4-8F14-6C684670D50B}"/>
    <cellStyle name="Comma 680 3" xfId="2986" xr:uid="{27E31142-5CC5-477D-9D2B-1C3BDA3E9519}"/>
    <cellStyle name="Comma 680 4" xfId="5112" xr:uid="{5D44CBDA-616F-4941-92C3-31A98544EB30}"/>
    <cellStyle name="Comma 681" xfId="921" xr:uid="{C49C6582-2EE5-4D94-80A1-707539151968}"/>
    <cellStyle name="Comma 681 2" xfId="1959" xr:uid="{EBB241A3-E24C-4AA2-B97C-55C9E471CBBA}"/>
    <cellStyle name="Comma 681 2 2" xfId="4017" xr:uid="{201D4954-03A7-49FA-BDC2-DEFBE213A2EE}"/>
    <cellStyle name="Comma 681 3" xfId="2987" xr:uid="{EF4F76BB-30E7-497D-9BFB-10A93B791B61}"/>
    <cellStyle name="Comma 681 4" xfId="5113" xr:uid="{8D950263-E959-411B-9A2C-C56EA82A8261}"/>
    <cellStyle name="Comma 682" xfId="922" xr:uid="{FCDD5D25-8A80-4A27-9335-537EAD9DA098}"/>
    <cellStyle name="Comma 682 2" xfId="1960" xr:uid="{DAA6A9F3-B4A7-4501-9CFE-8284BACC4348}"/>
    <cellStyle name="Comma 682 2 2" xfId="4018" xr:uid="{866879E4-F9AB-451C-B2CC-1EB8DE292F53}"/>
    <cellStyle name="Comma 682 3" xfId="2988" xr:uid="{C7A1DFAA-7841-4A16-9664-BCF5E69BEDEF}"/>
    <cellStyle name="Comma 682 4" xfId="5114" xr:uid="{40A5193D-C72F-472C-B0E9-61218FC962B1}"/>
    <cellStyle name="Comma 683" xfId="923" xr:uid="{4AE4A9E9-0A93-455E-B867-6E7AE064E740}"/>
    <cellStyle name="Comma 683 2" xfId="1961" xr:uid="{25B8B3F5-4A42-47BC-89A9-C8D9C64E381F}"/>
    <cellStyle name="Comma 683 2 2" xfId="4019" xr:uid="{B3B46156-8FAD-495C-ABEE-9553E6121EE7}"/>
    <cellStyle name="Comma 683 3" xfId="2989" xr:uid="{DBE4FC8C-847D-4765-BB01-0E2EEE49E1CE}"/>
    <cellStyle name="Comma 683 4" xfId="5115" xr:uid="{8F4FE3D3-3B7C-4E17-966E-634CB3C39349}"/>
    <cellStyle name="Comma 684" xfId="924" xr:uid="{122E02FB-4E87-4CC0-B835-B08FE36F6769}"/>
    <cellStyle name="Comma 684 2" xfId="1962" xr:uid="{C616C5FE-4E04-4F7A-9686-F7394743B716}"/>
    <cellStyle name="Comma 684 2 2" xfId="4020" xr:uid="{FA6D6D95-5E71-4DAD-9C6F-7C8C0EA102FF}"/>
    <cellStyle name="Comma 684 3" xfId="2990" xr:uid="{1466DA1D-736E-4A7F-AB06-C02C321E62ED}"/>
    <cellStyle name="Comma 684 4" xfId="5116" xr:uid="{EDB1656F-8BFE-41A4-A337-9F936D7DA83D}"/>
    <cellStyle name="Comma 685" xfId="925" xr:uid="{20D9BA68-54B4-4D83-B300-65A044BED641}"/>
    <cellStyle name="Comma 685 2" xfId="1963" xr:uid="{8B92D8B7-763A-4299-BD70-85E9100023D8}"/>
    <cellStyle name="Comma 685 2 2" xfId="4021" xr:uid="{811E32CA-4DC0-4173-B4CE-C4E3AEA9A1C0}"/>
    <cellStyle name="Comma 685 3" xfId="2991" xr:uid="{9B05590D-6060-4F5A-B93D-0AF765BFB7B0}"/>
    <cellStyle name="Comma 685 4" xfId="5117" xr:uid="{74EF7492-FD76-4C13-98A4-137164358154}"/>
    <cellStyle name="Comma 686" xfId="926" xr:uid="{FFE993B3-3F33-4B26-B2CA-99C0890F7133}"/>
    <cellStyle name="Comma 686 2" xfId="1964" xr:uid="{7CE86ECE-8751-44D8-8898-625E5729879E}"/>
    <cellStyle name="Comma 686 2 2" xfId="4022" xr:uid="{2187B688-D043-472C-8365-AE6A8FFAE27E}"/>
    <cellStyle name="Comma 686 3" xfId="2992" xr:uid="{941BDB13-8985-41AD-9D6A-C36AF7CEF217}"/>
    <cellStyle name="Comma 686 4" xfId="5118" xr:uid="{D346DB34-27F3-4816-865B-2FE941322751}"/>
    <cellStyle name="Comma 687" xfId="927" xr:uid="{2B3EBF52-C292-4921-B671-6436270D6715}"/>
    <cellStyle name="Comma 687 2" xfId="1965" xr:uid="{7652904B-935A-439C-93D2-38A4E353CB9E}"/>
    <cellStyle name="Comma 687 2 2" xfId="4023" xr:uid="{F2A43D3A-03E8-4341-99C3-11E024082F4E}"/>
    <cellStyle name="Comma 687 3" xfId="2993" xr:uid="{36A7C16B-45B4-4ECF-86D0-363DE9F0E3FD}"/>
    <cellStyle name="Comma 687 4" xfId="5119" xr:uid="{3BB82DDF-4927-4029-9CF2-44363DB22462}"/>
    <cellStyle name="Comma 688" xfId="928" xr:uid="{7BB6A959-DC41-46AF-A363-8697DB43F010}"/>
    <cellStyle name="Comma 688 2" xfId="1966" xr:uid="{01206717-9EBE-47CE-96E9-87AA63987672}"/>
    <cellStyle name="Comma 688 2 2" xfId="4024" xr:uid="{5666CF58-862F-47CF-845D-2B4724ADDDCE}"/>
    <cellStyle name="Comma 688 3" xfId="2994" xr:uid="{9C96BD81-AF12-465D-A57C-439BE3103288}"/>
    <cellStyle name="Comma 688 4" xfId="5120" xr:uid="{8F1D12D4-BD50-4388-B4D8-4DB34000BDA4}"/>
    <cellStyle name="Comma 689" xfId="929" xr:uid="{68FC1BAE-8C06-44D9-B3D1-E621BDFA8E8E}"/>
    <cellStyle name="Comma 689 2" xfId="1967" xr:uid="{CBABCBAC-32E7-470B-A767-5C0DB944BA0B}"/>
    <cellStyle name="Comma 689 2 2" xfId="4025" xr:uid="{413A43D6-FEC3-4C37-BF5C-0FAE95BCDB6C}"/>
    <cellStyle name="Comma 689 3" xfId="2995" xr:uid="{7F6980AA-F9B9-49E4-A792-45FDC9E54561}"/>
    <cellStyle name="Comma 689 4" xfId="5121" xr:uid="{30C57320-DA9C-43F4-A15A-D76B7D7DF81A}"/>
    <cellStyle name="Comma 69" xfId="272" xr:uid="{515EF98B-9D5A-47E8-A583-A9B150432421}"/>
    <cellStyle name="Comma 69 2" xfId="1347" xr:uid="{0F79F129-55CE-490C-9058-A78D565E2B50}"/>
    <cellStyle name="Comma 69 2 2" xfId="3405" xr:uid="{9E0746F0-072A-4D2D-BCBF-89CB212C0900}"/>
    <cellStyle name="Comma 69 3" xfId="2375" xr:uid="{38633AF1-CFB7-478A-AC3C-C1ACB0A5CD28}"/>
    <cellStyle name="Comma 69 4" xfId="4501" xr:uid="{B9A0C4A0-5585-46A2-8CB4-25324C2A9925}"/>
    <cellStyle name="Comma 690" xfId="930" xr:uid="{71886148-5903-4A90-94D7-58FD594FEC66}"/>
    <cellStyle name="Comma 690 2" xfId="1968" xr:uid="{A29049EA-EC69-4260-9DBC-EF03728E5ED8}"/>
    <cellStyle name="Comma 690 2 2" xfId="4026" xr:uid="{08399B3E-7890-4DD3-B2F5-36258449D400}"/>
    <cellStyle name="Comma 690 3" xfId="2996" xr:uid="{CF2ECF31-3A89-45C6-A8D3-36F88013E204}"/>
    <cellStyle name="Comma 690 4" xfId="5122" xr:uid="{E780BFE6-8766-41AD-A481-7331EB105281}"/>
    <cellStyle name="Comma 691" xfId="931" xr:uid="{C1358FE3-859D-4397-80DB-1131DB106B9C}"/>
    <cellStyle name="Comma 691 2" xfId="1969" xr:uid="{98D79B25-131D-41AD-B4BF-15B34EFEC1F3}"/>
    <cellStyle name="Comma 691 2 2" xfId="4027" xr:uid="{B73BBDA6-CD48-46A8-B512-A61F985BA14F}"/>
    <cellStyle name="Comma 691 3" xfId="2997" xr:uid="{D4DB4CE3-03FE-4A44-8256-2F252D530EC0}"/>
    <cellStyle name="Comma 691 4" xfId="5123" xr:uid="{F79C7D59-2502-4E60-8DAA-70D52AC5CD1B}"/>
    <cellStyle name="Comma 692" xfId="932" xr:uid="{31BA70B6-9DDF-42EC-9A94-172E567644A6}"/>
    <cellStyle name="Comma 692 2" xfId="1970" xr:uid="{F4FEE45B-DA50-48BE-9ABE-7828CE1496EC}"/>
    <cellStyle name="Comma 692 2 2" xfId="4028" xr:uid="{F107F511-8C91-48DB-8596-23372E491B58}"/>
    <cellStyle name="Comma 692 3" xfId="2998" xr:uid="{50A57F21-4EA2-467C-9754-E5D5FC7780D4}"/>
    <cellStyle name="Comma 692 4" xfId="5124" xr:uid="{985B0CD0-6076-4DC6-9220-C130F3F62A99}"/>
    <cellStyle name="Comma 693" xfId="933" xr:uid="{98CE5512-792C-4589-AD17-C837C636E4F4}"/>
    <cellStyle name="Comma 693 2" xfId="1971" xr:uid="{07D33AE6-0A42-4237-98E2-8042AE0EF0E8}"/>
    <cellStyle name="Comma 693 2 2" xfId="4029" xr:uid="{B8D66A60-0D7A-4F24-A026-37D43A76B4D1}"/>
    <cellStyle name="Comma 693 3" xfId="2999" xr:uid="{D7CED08B-751A-47F9-B373-31DC63CDE07A}"/>
    <cellStyle name="Comma 693 4" xfId="5125" xr:uid="{917E4129-A060-4871-A891-C5055D4443E3}"/>
    <cellStyle name="Comma 694" xfId="934" xr:uid="{2BBFED2C-B052-4E1A-8D11-48E855E38821}"/>
    <cellStyle name="Comma 694 2" xfId="1972" xr:uid="{B614F00E-8B54-4205-A00E-352DFB670D7A}"/>
    <cellStyle name="Comma 694 2 2" xfId="4030" xr:uid="{5CBBEE94-7DDE-4650-B0E3-5B481028B8ED}"/>
    <cellStyle name="Comma 694 3" xfId="3000" xr:uid="{B95C948C-6E40-4D78-858F-FA684C630AB4}"/>
    <cellStyle name="Comma 694 4" xfId="5126" xr:uid="{CCAE0941-217A-44E3-A7E9-9685ADA32414}"/>
    <cellStyle name="Comma 695" xfId="935" xr:uid="{812175D9-8CBB-43E2-BFF5-EF0A5C7FF8F5}"/>
    <cellStyle name="Comma 695 2" xfId="1973" xr:uid="{F605752A-4508-4348-AD4E-EA24CE3F2F8B}"/>
    <cellStyle name="Comma 695 2 2" xfId="4031" xr:uid="{E70E73C0-8EA9-4352-96A3-F951E8253622}"/>
    <cellStyle name="Comma 695 3" xfId="3001" xr:uid="{18A6E9A1-3055-4E02-8255-6F81EA59C9BC}"/>
    <cellStyle name="Comma 695 4" xfId="5127" xr:uid="{BCAEEF94-FA15-4855-A814-1D2D806F6AC3}"/>
    <cellStyle name="Comma 696" xfId="936" xr:uid="{4CB58722-6CF5-47D2-A4A0-CFE20505BC72}"/>
    <cellStyle name="Comma 696 2" xfId="1974" xr:uid="{4F824A40-BD16-42DC-8D3E-2FA144EE33A9}"/>
    <cellStyle name="Comma 696 2 2" xfId="4032" xr:uid="{36AD81A9-F57B-4626-A073-34925B6F357E}"/>
    <cellStyle name="Comma 696 3" xfId="3002" xr:uid="{CA56E1CA-A5E1-4576-9F91-7D161050C5C2}"/>
    <cellStyle name="Comma 696 4" xfId="5128" xr:uid="{EC9E730A-C888-4B47-BC40-22C07CD3EFE4}"/>
    <cellStyle name="Comma 697" xfId="937" xr:uid="{D2BF8D49-E5D2-43CF-8EBE-28F3044F7AA5}"/>
    <cellStyle name="Comma 697 2" xfId="1975" xr:uid="{7D0D36B2-030E-4946-B856-06608B4E4F5F}"/>
    <cellStyle name="Comma 697 2 2" xfId="4033" xr:uid="{03071497-00D4-45AD-A5B7-D7C02349E535}"/>
    <cellStyle name="Comma 697 3" xfId="3003" xr:uid="{C353349F-7A4C-4401-8F0C-F582CC4836ED}"/>
    <cellStyle name="Comma 697 4" xfId="5129" xr:uid="{F8E0E45D-BFB4-47DB-B682-9D124CB2EC6E}"/>
    <cellStyle name="Comma 698" xfId="938" xr:uid="{5C2E96D3-03BA-4B83-B7F3-B02ADA5529C3}"/>
    <cellStyle name="Comma 698 2" xfId="1976" xr:uid="{FB029E4C-5B8C-44A4-BD90-C7F742DBFE87}"/>
    <cellStyle name="Comma 698 2 2" xfId="4034" xr:uid="{B95ECD11-3A14-40BE-B8E1-6A01AE67CCB7}"/>
    <cellStyle name="Comma 698 3" xfId="3004" xr:uid="{DC714DF7-5CAB-49F5-AFBE-B9663596DA97}"/>
    <cellStyle name="Comma 698 4" xfId="5130" xr:uid="{B84BE620-EAB3-4A96-878C-F09EFCFD6CC3}"/>
    <cellStyle name="Comma 699" xfId="939" xr:uid="{5A7CEDD4-F9A4-4B41-BEB9-46BE535D3334}"/>
    <cellStyle name="Comma 699 2" xfId="1977" xr:uid="{5FDD48EF-BEBB-4A30-B85F-61EA9FD21CDD}"/>
    <cellStyle name="Comma 699 2 2" xfId="4035" xr:uid="{B2E3CE58-E3D4-4C8A-A56A-6F5038F43370}"/>
    <cellStyle name="Comma 699 3" xfId="3005" xr:uid="{7DFC9F1E-3E85-4B77-91F4-5154EE654F9B}"/>
    <cellStyle name="Comma 699 4" xfId="5131" xr:uid="{4600B89B-6EBB-4FCC-8851-73538F199277}"/>
    <cellStyle name="Comma 7" xfId="199" xr:uid="{56DDE7D6-41EE-47A1-8A57-07FA837FA5CD}"/>
    <cellStyle name="Comma 7 2" xfId="1285" xr:uid="{316E1568-7390-461C-B037-405F90400A92}"/>
    <cellStyle name="Comma 7 2 2" xfId="3343" xr:uid="{6374D629-0FBE-4EF1-AEBE-5D386870B7AA}"/>
    <cellStyle name="Comma 7 3" xfId="2313" xr:uid="{214E1004-D708-4878-BD19-6B567C627B58}"/>
    <cellStyle name="Comma 7 4" xfId="4439" xr:uid="{B05C57A9-F849-4297-A887-E4ADCE670733}"/>
    <cellStyle name="Comma 70" xfId="273" xr:uid="{D018E91F-5D74-4C2B-A459-2A5540124D53}"/>
    <cellStyle name="Comma 70 2" xfId="1348" xr:uid="{9C2E3A8A-3E25-4832-A971-A76A814F16AF}"/>
    <cellStyle name="Comma 70 2 2" xfId="3406" xr:uid="{9A75EB5A-654C-4AA2-89DB-3E76F4481196}"/>
    <cellStyle name="Comma 70 3" xfId="2376" xr:uid="{3BD28FAF-BDDB-4585-9004-A2108BB41D12}"/>
    <cellStyle name="Comma 70 4" xfId="4502" xr:uid="{F995A58C-C3B4-4F26-8F32-CD75AFE1A5B0}"/>
    <cellStyle name="Comma 700" xfId="940" xr:uid="{F09E3465-F330-4232-A263-B77EB0CFB1A7}"/>
    <cellStyle name="Comma 700 2" xfId="1978" xr:uid="{47B19068-8E13-4990-A0B5-4CABA68F0D85}"/>
    <cellStyle name="Comma 700 2 2" xfId="4036" xr:uid="{32D3AF5E-764F-4F85-914E-76991CF13AE0}"/>
    <cellStyle name="Comma 700 3" xfId="3006" xr:uid="{F43B876C-C6C6-490B-AA2B-D8471862E58C}"/>
    <cellStyle name="Comma 700 4" xfId="5132" xr:uid="{78339758-0990-4CFE-872C-9F6F1F1F9D19}"/>
    <cellStyle name="Comma 701" xfId="941" xr:uid="{F7A00D07-CEC1-49C0-B0C9-A47B43AFD397}"/>
    <cellStyle name="Comma 701 2" xfId="1979" xr:uid="{F2EFA114-B4CD-4267-AE2C-F6B6DEBA3925}"/>
    <cellStyle name="Comma 701 2 2" xfId="4037" xr:uid="{D788D824-F8BE-46E1-84C3-408D088C18C2}"/>
    <cellStyle name="Comma 701 3" xfId="3007" xr:uid="{F45E35C2-7FBE-4021-8BA3-8FE9F1839754}"/>
    <cellStyle name="Comma 701 4" xfId="5133" xr:uid="{E05B777A-1301-4608-91B4-076CEA8C4D38}"/>
    <cellStyle name="Comma 702" xfId="942" xr:uid="{A6E15E9D-DC4C-4891-8054-641A02FBC5E7}"/>
    <cellStyle name="Comma 702 2" xfId="1980" xr:uid="{5193F60B-E5B5-4827-A5C7-3A8E6A9AD09F}"/>
    <cellStyle name="Comma 702 2 2" xfId="4038" xr:uid="{0F3E8A32-4895-4586-A90F-C648EDD99631}"/>
    <cellStyle name="Comma 702 3" xfId="3008" xr:uid="{E92FE557-087D-4B2B-88B2-DC59B810D37C}"/>
    <cellStyle name="Comma 702 4" xfId="5134" xr:uid="{43E0A7A4-5E3D-42C3-93C2-3DF1E152B968}"/>
    <cellStyle name="Comma 703" xfId="943" xr:uid="{E16F4B95-4410-4817-87A2-8828D733413F}"/>
    <cellStyle name="Comma 703 2" xfId="1981" xr:uid="{AC6649EE-363B-427A-8913-64C7259C62AF}"/>
    <cellStyle name="Comma 703 2 2" xfId="4039" xr:uid="{F18FD1E0-FE06-4C8D-BABE-ADAFAFB90B84}"/>
    <cellStyle name="Comma 703 3" xfId="3009" xr:uid="{54DC67C0-BE02-4C7C-8734-F91D5298DF32}"/>
    <cellStyle name="Comma 703 4" xfId="5135" xr:uid="{48CD34E9-2C6E-4674-B01E-773FD56EC71D}"/>
    <cellStyle name="Comma 704" xfId="944" xr:uid="{7F44C3E4-232C-48AB-B306-9AB44435D244}"/>
    <cellStyle name="Comma 704 2" xfId="1982" xr:uid="{F57E72D0-97AF-4F85-9D7B-4662D2E6F18D}"/>
    <cellStyle name="Comma 704 2 2" xfId="4040" xr:uid="{2B682738-F319-42CC-8D15-6432BE4E3711}"/>
    <cellStyle name="Comma 704 3" xfId="3010" xr:uid="{57A97C52-EC53-4DA9-8AD1-60A2A1253F8E}"/>
    <cellStyle name="Comma 704 4" xfId="5136" xr:uid="{6EF160C8-7D20-4CE0-869D-397092709F6B}"/>
    <cellStyle name="Comma 705" xfId="945" xr:uid="{A62A2C38-39E2-42EA-B3B0-DE737F044A2E}"/>
    <cellStyle name="Comma 705 2" xfId="1983" xr:uid="{8B2B98C5-10F3-48BD-B907-C0191096119F}"/>
    <cellStyle name="Comma 705 2 2" xfId="4041" xr:uid="{AB13E7FC-A00C-4E26-AEC1-8994203C9C92}"/>
    <cellStyle name="Comma 705 3" xfId="3011" xr:uid="{9F682AF3-0029-4ED8-8EF6-8F1C652DDAB3}"/>
    <cellStyle name="Comma 705 4" xfId="5137" xr:uid="{36269533-E21D-4914-9021-902CBEAB8225}"/>
    <cellStyle name="Comma 706" xfId="946" xr:uid="{E631F145-19AD-4B01-9582-48DF391D1A2F}"/>
    <cellStyle name="Comma 706 2" xfId="1984" xr:uid="{E86E8945-5197-4D9F-BF67-E9B0B7AF0372}"/>
    <cellStyle name="Comma 706 2 2" xfId="4042" xr:uid="{3C2BDB3D-F9AA-49FD-A28F-E1EDA0BA9D79}"/>
    <cellStyle name="Comma 706 3" xfId="3012" xr:uid="{4F89C8A9-C26A-45A3-A132-8FF6C8CC0477}"/>
    <cellStyle name="Comma 706 4" xfId="5138" xr:uid="{5C31C812-7DA9-4AA4-8ED8-C85EFF16FAD4}"/>
    <cellStyle name="Comma 707" xfId="947" xr:uid="{7ED3D5CD-4CCD-4546-980F-C22DEE005630}"/>
    <cellStyle name="Comma 707 2" xfId="1985" xr:uid="{F84BD219-EF00-48DE-AEC8-6376033F0427}"/>
    <cellStyle name="Comma 707 2 2" xfId="4043" xr:uid="{D6081129-69A2-4E06-8684-2ED6053E6429}"/>
    <cellStyle name="Comma 707 3" xfId="3013" xr:uid="{B09BF79C-D682-4DF7-8D5A-F9D51A752240}"/>
    <cellStyle name="Comma 707 4" xfId="5139" xr:uid="{9C3C4FD0-068E-4A9C-B407-963B2CB76799}"/>
    <cellStyle name="Comma 708" xfId="948" xr:uid="{1F5EDF9F-9B1D-4EF3-AB9F-2127006631B0}"/>
    <cellStyle name="Comma 708 2" xfId="1986" xr:uid="{5E2A4056-BF80-41F6-9C2A-3F215315C2CF}"/>
    <cellStyle name="Comma 708 2 2" xfId="4044" xr:uid="{8F6BAF56-9ED1-422B-A511-2724B4DAFCEF}"/>
    <cellStyle name="Comma 708 3" xfId="3014" xr:uid="{3C7F2A93-C7A6-406D-B6DF-3E3C6E75AFB3}"/>
    <cellStyle name="Comma 708 4" xfId="5140" xr:uid="{CCFB0C1A-7D9D-45CB-9A9F-7353FA537918}"/>
    <cellStyle name="Comma 709" xfId="949" xr:uid="{12AB64AD-C256-4FC5-BEAF-6F5861953863}"/>
    <cellStyle name="Comma 709 2" xfId="1987" xr:uid="{DAEEEF07-49C5-4805-96AC-660C05CC562D}"/>
    <cellStyle name="Comma 709 2 2" xfId="4045" xr:uid="{08421979-1B27-41EB-9110-9F36C2A5C55A}"/>
    <cellStyle name="Comma 709 3" xfId="3015" xr:uid="{5D0DB713-C562-452F-BCA9-28A9853961D1}"/>
    <cellStyle name="Comma 709 4" xfId="5141" xr:uid="{EE7F7AEC-3A6E-4E62-B2BA-099918A5A896}"/>
    <cellStyle name="Comma 71" xfId="274" xr:uid="{877EE850-513A-4006-92ED-625E7A2E93DA}"/>
    <cellStyle name="Comma 71 2" xfId="1349" xr:uid="{5D18E956-FF25-4E2A-8EE7-8AB60BCE1124}"/>
    <cellStyle name="Comma 71 2 2" xfId="3407" xr:uid="{B8BF0524-2EB8-4756-B240-49942B807B25}"/>
    <cellStyle name="Comma 71 3" xfId="2377" xr:uid="{1F42F6AF-5FA9-41C6-A03D-81622B4C2FE5}"/>
    <cellStyle name="Comma 71 4" xfId="4503" xr:uid="{1A3840D7-6B1E-4675-807A-722286281001}"/>
    <cellStyle name="Comma 710" xfId="950" xr:uid="{90B8E46A-31CE-49B6-8CD1-759A87F47DCB}"/>
    <cellStyle name="Comma 710 2" xfId="1988" xr:uid="{B260A752-ACD4-4160-B556-7B4B13D39EF6}"/>
    <cellStyle name="Comma 710 2 2" xfId="4046" xr:uid="{1895317F-B603-4DD7-9C8A-2C9E0F0AAF79}"/>
    <cellStyle name="Comma 710 3" xfId="3016" xr:uid="{7EA371C3-0A7F-4849-AFFA-5061DF78D9E0}"/>
    <cellStyle name="Comma 710 4" xfId="5142" xr:uid="{725C95B2-9E2E-4C45-874F-2CC63FE5C0BD}"/>
    <cellStyle name="Comma 711" xfId="951" xr:uid="{19F3E500-5F52-453D-9CA0-FC0394D7981F}"/>
    <cellStyle name="Comma 711 2" xfId="1989" xr:uid="{462171EA-DD7B-4319-B124-B6BF901BC82C}"/>
    <cellStyle name="Comma 711 2 2" xfId="4047" xr:uid="{9A2739EE-8ED5-4D6E-AF85-06BFB86CBAF7}"/>
    <cellStyle name="Comma 711 3" xfId="3017" xr:uid="{933DA493-331B-4BE2-8022-46D1A11AE5A9}"/>
    <cellStyle name="Comma 711 4" xfId="5143" xr:uid="{0774E5BB-4876-44B8-9173-C27CC35AC82B}"/>
    <cellStyle name="Comma 712" xfId="952" xr:uid="{EBA5018C-F3F6-45D6-9FAD-1038E50ECCFE}"/>
    <cellStyle name="Comma 712 2" xfId="1990" xr:uid="{63828E7D-57BD-4B14-89EB-8DCF1F253F4E}"/>
    <cellStyle name="Comma 712 2 2" xfId="4048" xr:uid="{5013E6F1-83D3-49A6-AC35-FA89A49825C6}"/>
    <cellStyle name="Comma 712 3" xfId="3018" xr:uid="{3235AC4F-F70E-47E3-A182-A1F7A76A5AFE}"/>
    <cellStyle name="Comma 712 4" xfId="5144" xr:uid="{842F9F2B-DFD9-439D-B78E-C6C82D0906A4}"/>
    <cellStyle name="Comma 713" xfId="953" xr:uid="{7C930E2D-D01F-4614-BCDD-9A1BD10A18B1}"/>
    <cellStyle name="Comma 713 2" xfId="1991" xr:uid="{D2A0F132-C3F8-4333-9149-69A5988CE865}"/>
    <cellStyle name="Comma 713 2 2" xfId="4049" xr:uid="{7EA0E239-F7A3-4582-846A-1057917FE063}"/>
    <cellStyle name="Comma 713 3" xfId="3019" xr:uid="{205418D8-B1FB-49C0-849B-874971911BD7}"/>
    <cellStyle name="Comma 713 4" xfId="5145" xr:uid="{CCB230E0-014F-426E-91DB-67E7B6E6C95F}"/>
    <cellStyle name="Comma 714" xfId="954" xr:uid="{B8D77867-B535-4218-B0C5-B6B3687FC4F9}"/>
    <cellStyle name="Comma 714 2" xfId="1992" xr:uid="{EF188899-378B-4EFD-BDFA-C22C4E4F06CA}"/>
    <cellStyle name="Comma 714 2 2" xfId="4050" xr:uid="{6C2CF371-23E6-445E-BA61-3202592EFCC3}"/>
    <cellStyle name="Comma 714 3" xfId="3020" xr:uid="{97EE3278-CD1F-496F-8340-9C21C6FDEAE8}"/>
    <cellStyle name="Comma 714 4" xfId="5146" xr:uid="{BAE1B7AD-E8DC-427F-839C-4CF813F1E5F6}"/>
    <cellStyle name="Comma 715" xfId="955" xr:uid="{33716FC2-173F-4528-BA68-421217F98C76}"/>
    <cellStyle name="Comma 715 2" xfId="1993" xr:uid="{8F2F2853-349D-4407-B91A-6ED9303F1831}"/>
    <cellStyle name="Comma 715 2 2" xfId="4051" xr:uid="{3F7F6948-D597-4D02-ABA4-5F40F1C3865B}"/>
    <cellStyle name="Comma 715 3" xfId="3021" xr:uid="{35F6FE80-869E-4668-B2BE-C9E42F139783}"/>
    <cellStyle name="Comma 715 4" xfId="5147" xr:uid="{EB2EFB11-D8D8-419D-A00C-1C5D7AC0F221}"/>
    <cellStyle name="Comma 716" xfId="956" xr:uid="{6CB1DB49-4EF2-46F8-B42D-C35C791A1C09}"/>
    <cellStyle name="Comma 716 2" xfId="1994" xr:uid="{8196B09D-FC63-48DF-86EE-C79FF0051514}"/>
    <cellStyle name="Comma 716 2 2" xfId="4052" xr:uid="{290C9F4B-F5A4-437B-90CF-58A8B0213F04}"/>
    <cellStyle name="Comma 716 3" xfId="3022" xr:uid="{FC21408A-BC56-49C7-80CD-1D22CDACA475}"/>
    <cellStyle name="Comma 716 4" xfId="5148" xr:uid="{F4FA7DBC-0EB0-4FDD-B4F6-B17D74F3ACC4}"/>
    <cellStyle name="Comma 717" xfId="957" xr:uid="{CADEFF78-89C9-440D-BB69-1E7B7FB7B428}"/>
    <cellStyle name="Comma 717 2" xfId="1995" xr:uid="{F58A9CC0-E77B-4F0E-899B-C8488A1AB918}"/>
    <cellStyle name="Comma 717 2 2" xfId="4053" xr:uid="{9F77D668-992A-43BC-A585-8071DD59CF71}"/>
    <cellStyle name="Comma 717 3" xfId="3023" xr:uid="{2BF55785-D0E1-4ECB-92B4-0DE9F4E59119}"/>
    <cellStyle name="Comma 717 4" xfId="5149" xr:uid="{388ACF9E-A509-437D-9359-D633B0BB1255}"/>
    <cellStyle name="Comma 718" xfId="958" xr:uid="{8FA4D578-E9D3-4E7D-9BEE-AA68F948B0E3}"/>
    <cellStyle name="Comma 718 2" xfId="1996" xr:uid="{8EF32DED-009E-40EE-832A-7C51895D8E31}"/>
    <cellStyle name="Comma 718 2 2" xfId="4054" xr:uid="{8C84C0E3-B28D-44FC-8B22-9E47C47F7632}"/>
    <cellStyle name="Comma 718 3" xfId="3024" xr:uid="{5939EE62-7B92-4EAD-8B0D-43FD046D506E}"/>
    <cellStyle name="Comma 718 4" xfId="5150" xr:uid="{D465289A-B011-49BD-BB86-90BA631AEE5B}"/>
    <cellStyle name="Comma 719" xfId="959" xr:uid="{C8BC961E-1332-46FB-8588-6601ED06F89B}"/>
    <cellStyle name="Comma 719 2" xfId="1997" xr:uid="{7468CAA0-EE27-49E6-87BC-30875D7369A2}"/>
    <cellStyle name="Comma 719 2 2" xfId="4055" xr:uid="{59952CFF-9BD9-435D-AD47-63251BF04D53}"/>
    <cellStyle name="Comma 719 3" xfId="3025" xr:uid="{0D5FB967-CB29-4550-9B34-44891A422B16}"/>
    <cellStyle name="Comma 719 4" xfId="5151" xr:uid="{EB5A1959-F704-4941-AAD2-81C67F6E781A}"/>
    <cellStyle name="Comma 72" xfId="275" xr:uid="{B3E2F9FA-DD5C-42FC-93A2-2DD58502ED23}"/>
    <cellStyle name="Comma 72 2" xfId="1350" xr:uid="{34DCEF63-49A3-4B6D-81D4-49070771787B}"/>
    <cellStyle name="Comma 72 2 2" xfId="3408" xr:uid="{09E3BEF5-9178-40D6-89CF-EFFCAB641127}"/>
    <cellStyle name="Comma 72 3" xfId="2378" xr:uid="{C3AEFADD-9186-4B36-A34D-67A1DF677C49}"/>
    <cellStyle name="Comma 72 4" xfId="4504" xr:uid="{30C1BAA3-FFBC-4359-BEA6-6D1DDF3A4AF7}"/>
    <cellStyle name="Comma 720" xfId="960" xr:uid="{F916E849-790A-4D72-9645-89374CDBC10C}"/>
    <cellStyle name="Comma 720 2" xfId="1998" xr:uid="{476ED8AA-C21F-4214-8D06-9ADD6BDB8FBE}"/>
    <cellStyle name="Comma 720 2 2" xfId="4056" xr:uid="{C10BDF4E-D19E-4292-9A54-72571A480C73}"/>
    <cellStyle name="Comma 720 3" xfId="3026" xr:uid="{B812833D-0B2C-4337-97A1-18D872FCC88D}"/>
    <cellStyle name="Comma 720 4" xfId="5152" xr:uid="{A5634179-D257-4D7E-B3AE-1421273B00C7}"/>
    <cellStyle name="Comma 721" xfId="961" xr:uid="{4FF90391-70CB-420D-B40B-40CC0EF605DD}"/>
    <cellStyle name="Comma 721 2" xfId="1999" xr:uid="{6349AEAA-D606-4BD7-B8A2-F4F37E680E7D}"/>
    <cellStyle name="Comma 721 2 2" xfId="4057" xr:uid="{4D1852C9-7EAD-4297-98BF-C60648F80132}"/>
    <cellStyle name="Comma 721 3" xfId="3027" xr:uid="{2D08885C-6E62-4184-9F79-56CF0DE3E527}"/>
    <cellStyle name="Comma 721 4" xfId="5153" xr:uid="{73318EB9-76F0-4998-B9DF-FF369121C65F}"/>
    <cellStyle name="Comma 722" xfId="962" xr:uid="{B732869C-200E-460D-932A-2AA0838B9C4E}"/>
    <cellStyle name="Comma 722 2" xfId="2000" xr:uid="{5D8CD36F-89D9-474C-91F8-65E7AF654F37}"/>
    <cellStyle name="Comma 722 2 2" xfId="4058" xr:uid="{5AF9AD18-6C07-4231-BEA1-F628B94CCBF0}"/>
    <cellStyle name="Comma 722 3" xfId="3028" xr:uid="{6B1F1348-457F-4F73-90B5-40861652095C}"/>
    <cellStyle name="Comma 722 4" xfId="5154" xr:uid="{99E5FF81-8551-4FF6-B123-4E4435ADA87B}"/>
    <cellStyle name="Comma 723" xfId="963" xr:uid="{CA17B236-3D89-4B48-8294-D8F3E8967A5B}"/>
    <cellStyle name="Comma 723 2" xfId="2001" xr:uid="{60DD687C-0002-40C9-BDE8-22B7EF455A2E}"/>
    <cellStyle name="Comma 723 2 2" xfId="4059" xr:uid="{6EDF3FA0-57DB-40D5-AA31-86C1F55B8894}"/>
    <cellStyle name="Comma 723 3" xfId="3029" xr:uid="{EA42E66D-6577-47A8-90CE-D9BB4F394224}"/>
    <cellStyle name="Comma 723 4" xfId="5155" xr:uid="{60ED752A-BCDB-488F-A66E-FD4FC9E626E2}"/>
    <cellStyle name="Comma 724" xfId="964" xr:uid="{E1BF7EA3-9A99-4FCE-AE92-80521D400DF1}"/>
    <cellStyle name="Comma 724 2" xfId="2002" xr:uid="{ACB70E92-B7B5-4953-86AC-279EE33433D7}"/>
    <cellStyle name="Comma 724 2 2" xfId="4060" xr:uid="{D450E67D-0924-455A-9CBC-3DD648E24421}"/>
    <cellStyle name="Comma 724 3" xfId="3030" xr:uid="{B1DEEB61-AF6E-4C0C-BB41-41BD414DC414}"/>
    <cellStyle name="Comma 724 4" xfId="5156" xr:uid="{1BFA549B-C58E-46FF-B9AD-8E13D0866287}"/>
    <cellStyle name="Comma 725" xfId="965" xr:uid="{541596FE-8BCF-47A2-A82A-76CEC1D7F9FD}"/>
    <cellStyle name="Comma 725 2" xfId="2003" xr:uid="{C1E6AB6B-A94D-4A03-8959-C13D11157D02}"/>
    <cellStyle name="Comma 725 2 2" xfId="4061" xr:uid="{011B7B57-D6BE-4021-8C9B-174A89D1FB91}"/>
    <cellStyle name="Comma 725 3" xfId="3031" xr:uid="{D119134E-EB76-40CB-ACBD-C4592B4242E4}"/>
    <cellStyle name="Comma 725 4" xfId="5157" xr:uid="{768026A4-A55C-4E01-A6F9-0CFF9347C4AE}"/>
    <cellStyle name="Comma 726" xfId="966" xr:uid="{165CB0D2-99A4-4B30-A3B1-B698C3FED6FE}"/>
    <cellStyle name="Comma 726 2" xfId="2004" xr:uid="{D9358EE5-ACDE-4D5D-9B2B-64912D5C4FCA}"/>
    <cellStyle name="Comma 726 2 2" xfId="4062" xr:uid="{DC55EAC1-C2C7-4C6E-AD50-3F8C06D9C436}"/>
    <cellStyle name="Comma 726 3" xfId="3032" xr:uid="{968C9E7B-F31C-4683-843F-D59EFF04F40F}"/>
    <cellStyle name="Comma 726 4" xfId="5158" xr:uid="{3C7DD440-A3C8-4058-9DBE-6FFA15D6B8AB}"/>
    <cellStyle name="Comma 727" xfId="967" xr:uid="{5CDD519D-A4E3-4BD1-BCBA-28BFA1914E52}"/>
    <cellStyle name="Comma 727 2" xfId="2005" xr:uid="{2AFB5A11-B456-438C-A882-7582AC09A0C1}"/>
    <cellStyle name="Comma 727 2 2" xfId="4063" xr:uid="{52B039D1-35FD-4173-A231-CF6A6122C09B}"/>
    <cellStyle name="Comma 727 3" xfId="3033" xr:uid="{9C618607-A254-4F72-A9BB-96C6912B20A0}"/>
    <cellStyle name="Comma 727 4" xfId="5159" xr:uid="{7327EED8-0706-4AA1-95EB-5D6A74AC9F17}"/>
    <cellStyle name="Comma 728" xfId="968" xr:uid="{23D4B100-0900-4853-84DD-44EA41733834}"/>
    <cellStyle name="Comma 728 2" xfId="2006" xr:uid="{C5904952-DC75-4065-BE91-FF04CEA81088}"/>
    <cellStyle name="Comma 728 2 2" xfId="4064" xr:uid="{988A513F-D3C7-4F0F-B555-0DA7EF616D02}"/>
    <cellStyle name="Comma 728 3" xfId="3034" xr:uid="{53EEDCC5-8D0D-4032-B9FB-FAF8B44B7659}"/>
    <cellStyle name="Comma 728 4" xfId="5160" xr:uid="{AFAD0073-D87F-48E5-BB41-D990946B0F11}"/>
    <cellStyle name="Comma 729" xfId="969" xr:uid="{AC843F9D-4FEA-4C46-9211-85A85A1C94B9}"/>
    <cellStyle name="Comma 729 2" xfId="2007" xr:uid="{BBA70E88-B3EB-4958-808C-B1CB393B280C}"/>
    <cellStyle name="Comma 729 2 2" xfId="4065" xr:uid="{B01B286A-70B6-4E21-BD2E-09693089AB3D}"/>
    <cellStyle name="Comma 729 3" xfId="3035" xr:uid="{9CBA50A5-D9C4-4572-B423-03325205853E}"/>
    <cellStyle name="Comma 729 4" xfId="5161" xr:uid="{15B4381C-B5B8-4BE4-9B6B-573BAA1B73D0}"/>
    <cellStyle name="Comma 73" xfId="276" xr:uid="{D29743F2-118A-4E1C-98A3-2B7A36239B6A}"/>
    <cellStyle name="Comma 73 2" xfId="1351" xr:uid="{53B1F0D4-F80E-405A-A6F2-97CEFDD36082}"/>
    <cellStyle name="Comma 73 2 2" xfId="3409" xr:uid="{192650E1-4686-47F0-87D0-ED833CDAF357}"/>
    <cellStyle name="Comma 73 3" xfId="2379" xr:uid="{796EA116-E4BE-4CC4-9A3B-15D4F3E280B4}"/>
    <cellStyle name="Comma 73 4" xfId="4505" xr:uid="{0D8668B2-B9F7-4B3F-876E-61CCE4C049CC}"/>
    <cellStyle name="Comma 730" xfId="970" xr:uid="{26ACC504-9624-40AA-A2B2-25566BF7367D}"/>
    <cellStyle name="Comma 730 2" xfId="2008" xr:uid="{7328FD37-5DD6-4025-9A27-1FD96D35C765}"/>
    <cellStyle name="Comma 730 2 2" xfId="4066" xr:uid="{5BBFD90B-3DD5-4F79-A7AC-6A1AE2D8B06E}"/>
    <cellStyle name="Comma 730 3" xfId="3036" xr:uid="{64F867D4-2511-4DCF-AA67-BBFA09740254}"/>
    <cellStyle name="Comma 730 4" xfId="5162" xr:uid="{D4A56941-6003-4AE5-9EDA-2F4A74C4C921}"/>
    <cellStyle name="Comma 731" xfId="971" xr:uid="{0B82EBA2-E8A0-44E5-A042-78E9D4322148}"/>
    <cellStyle name="Comma 731 2" xfId="2009" xr:uid="{831C4186-E614-4583-B421-2064CA237CE5}"/>
    <cellStyle name="Comma 731 2 2" xfId="4067" xr:uid="{22AB6631-66B7-49AB-AF4C-E699DE2BA52A}"/>
    <cellStyle name="Comma 731 3" xfId="3037" xr:uid="{7E2A22D2-7720-42BB-A1C5-91C0D6D27425}"/>
    <cellStyle name="Comma 731 4" xfId="5163" xr:uid="{596F30E1-72EA-4A00-A4D0-236B5F96E58E}"/>
    <cellStyle name="Comma 732" xfId="972" xr:uid="{106D1349-7EA5-45B8-AD37-2C3A41F2FCC9}"/>
    <cellStyle name="Comma 732 2" xfId="2010" xr:uid="{88F23711-A12C-4552-9424-BF7851A99DA1}"/>
    <cellStyle name="Comma 732 2 2" xfId="4068" xr:uid="{B4CA5746-B900-4231-9FD3-2BE4F002D5F7}"/>
    <cellStyle name="Comma 732 3" xfId="3038" xr:uid="{B65503FA-14B3-4AC6-8F89-5C562063C33F}"/>
    <cellStyle name="Comma 732 4" xfId="5164" xr:uid="{8F9C2FD4-C8BE-4C02-AC48-9439FE833027}"/>
    <cellStyle name="Comma 733" xfId="973" xr:uid="{E3709EA2-E4FF-4141-818C-F41D96EEFEB0}"/>
    <cellStyle name="Comma 733 2" xfId="2011" xr:uid="{BD7463B6-7604-41A0-A9DA-857FBFE75310}"/>
    <cellStyle name="Comma 733 2 2" xfId="4069" xr:uid="{7B013679-F19D-46A0-BAD3-24B6D20ACB14}"/>
    <cellStyle name="Comma 733 3" xfId="3039" xr:uid="{D4E31D42-F766-4B93-961E-38A362CE600A}"/>
    <cellStyle name="Comma 733 4" xfId="5165" xr:uid="{23529AC6-C2B0-4FE3-AFBC-80C45996F659}"/>
    <cellStyle name="Comma 734" xfId="974" xr:uid="{D2632069-4EDF-42E4-8850-02671F1DAA91}"/>
    <cellStyle name="Comma 734 2" xfId="2012" xr:uid="{6A0FD8F7-85BC-4494-A0C7-CD0135159E05}"/>
    <cellStyle name="Comma 734 2 2" xfId="4070" xr:uid="{C29CBEDA-03B5-4EF5-BB06-70BE7E388EDD}"/>
    <cellStyle name="Comma 734 3" xfId="3040" xr:uid="{342B00AB-845E-4644-8AE7-9F0A06651260}"/>
    <cellStyle name="Comma 734 4" xfId="5166" xr:uid="{1AA08908-E7D0-43B9-9EAE-EE15ABFEE4AD}"/>
    <cellStyle name="Comma 735" xfId="975" xr:uid="{81535539-07F7-4EC8-8391-2397A752549C}"/>
    <cellStyle name="Comma 735 2" xfId="2013" xr:uid="{E1CF0FC5-8575-40DA-98FE-495DA40EA98B}"/>
    <cellStyle name="Comma 735 2 2" xfId="4071" xr:uid="{E9215C40-739B-42C2-9305-D202B2176613}"/>
    <cellStyle name="Comma 735 3" xfId="3041" xr:uid="{7AFA1D63-917F-4214-A01E-6D00C8349F4B}"/>
    <cellStyle name="Comma 735 4" xfId="5167" xr:uid="{215D15D0-671A-445A-AC76-DBAEFAECADA5}"/>
    <cellStyle name="Comma 736" xfId="976" xr:uid="{6275CC8C-1C23-4415-96F8-16C4C06E846A}"/>
    <cellStyle name="Comma 736 2" xfId="2014" xr:uid="{9510FF2A-C9E8-476C-B3EC-5BDEB127DC0A}"/>
    <cellStyle name="Comma 736 2 2" xfId="4072" xr:uid="{DF1C7203-D71C-4264-B8B6-ED8474AF3B5F}"/>
    <cellStyle name="Comma 736 3" xfId="3042" xr:uid="{5AF25BA0-85B8-48C6-A30E-502DC969B392}"/>
    <cellStyle name="Comma 736 4" xfId="5168" xr:uid="{72E29ED4-8AAA-445E-9E82-1C33F60C8692}"/>
    <cellStyle name="Comma 737" xfId="977" xr:uid="{91108602-B0AE-4C4C-A200-206F281E3442}"/>
    <cellStyle name="Comma 737 2" xfId="2015" xr:uid="{FCAAD7D1-3E05-45B4-BF94-0F94AD81F8C1}"/>
    <cellStyle name="Comma 737 2 2" xfId="4073" xr:uid="{CE5F3098-745D-48F4-8700-CB6C798B1E4A}"/>
    <cellStyle name="Comma 737 3" xfId="3043" xr:uid="{07D184F6-E6B9-46AF-B8D1-913D29012EDE}"/>
    <cellStyle name="Comma 737 4" xfId="5169" xr:uid="{DA0F3A2C-9AA3-402E-A3D4-A80DD3C95D9F}"/>
    <cellStyle name="Comma 738" xfId="978" xr:uid="{D52C17A9-FAFE-432F-9C57-4762C2848E1F}"/>
    <cellStyle name="Comma 738 2" xfId="2016" xr:uid="{929F9423-F8E9-4CA4-8F78-4ABDA7995EC2}"/>
    <cellStyle name="Comma 738 2 2" xfId="4074" xr:uid="{630EA61D-78AC-49C6-BCE7-4B16298D18CB}"/>
    <cellStyle name="Comma 738 3" xfId="3044" xr:uid="{ADEE654C-4242-4864-AB64-F4E533589A19}"/>
    <cellStyle name="Comma 738 4" xfId="5170" xr:uid="{B606ABF3-4EDE-46D9-9DD1-514C7971DF53}"/>
    <cellStyle name="Comma 739" xfId="979" xr:uid="{BF632AFB-B3F7-4E15-A430-2928B306CACC}"/>
    <cellStyle name="Comma 739 2" xfId="2017" xr:uid="{51E7EB29-1D51-4DB3-ADCD-486AAAB4AA9D}"/>
    <cellStyle name="Comma 739 2 2" xfId="4075" xr:uid="{3D476F29-EE1D-45DF-B4FD-4565AE5EF2E3}"/>
    <cellStyle name="Comma 739 3" xfId="3045" xr:uid="{68291E10-2155-4A39-B14E-F53C3F7D76A4}"/>
    <cellStyle name="Comma 739 4" xfId="5171" xr:uid="{FFAD1435-74B0-4333-BE1E-9B529A444C6F}"/>
    <cellStyle name="Comma 74" xfId="277" xr:uid="{6D1A54F5-328B-42C3-9B42-AB586DBD70E6}"/>
    <cellStyle name="Comma 74 2" xfId="1352" xr:uid="{EFF80CAE-ED4A-47F3-9D2B-9DC67E146D79}"/>
    <cellStyle name="Comma 74 2 2" xfId="3410" xr:uid="{7E8FF0C5-33BA-4BDE-B391-55F2E7A06793}"/>
    <cellStyle name="Comma 74 3" xfId="2380" xr:uid="{2DD77E5C-5700-4C38-BD94-100253B06E0F}"/>
    <cellStyle name="Comma 74 4" xfId="4506" xr:uid="{7B41CDC5-B81A-485D-9A9F-91FE787360A5}"/>
    <cellStyle name="Comma 740" xfId="980" xr:uid="{5058C42B-FF04-424A-89D9-3EED97FF4E86}"/>
    <cellStyle name="Comma 740 2" xfId="2018" xr:uid="{55A52E11-55E8-4E51-8649-C30F1A6C244A}"/>
    <cellStyle name="Comma 740 2 2" xfId="4076" xr:uid="{5D907768-939D-47DA-A5EE-02E320CAB862}"/>
    <cellStyle name="Comma 740 3" xfId="3046" xr:uid="{59F434F8-0FBF-4B9C-ABDF-DBEC8FC03E1E}"/>
    <cellStyle name="Comma 740 4" xfId="5172" xr:uid="{05CCD0FD-5859-4DA5-A0B6-5EF075A4476C}"/>
    <cellStyle name="Comma 741" xfId="981" xr:uid="{D9D9CDA0-A2B7-4731-B4D1-2CAE565B887E}"/>
    <cellStyle name="Comma 741 2" xfId="2019" xr:uid="{F3C12424-6713-4C09-8365-AD1756D296DB}"/>
    <cellStyle name="Comma 741 2 2" xfId="4077" xr:uid="{839AA61D-4463-46B1-9CAE-1910411BE413}"/>
    <cellStyle name="Comma 741 3" xfId="3047" xr:uid="{65D0485E-3626-4576-843B-C0A02950795F}"/>
    <cellStyle name="Comma 741 4" xfId="5173" xr:uid="{BB0A730E-E3E5-45B9-BDEB-46773E904063}"/>
    <cellStyle name="Comma 742" xfId="982" xr:uid="{35481A7F-8619-4C33-BFBC-7E21C2A98BB6}"/>
    <cellStyle name="Comma 742 2" xfId="2020" xr:uid="{8BE82A58-7F94-4D57-8B36-C79F48309AFD}"/>
    <cellStyle name="Comma 742 2 2" xfId="4078" xr:uid="{2E94C716-E914-440C-BC05-6893229096FC}"/>
    <cellStyle name="Comma 742 3" xfId="3048" xr:uid="{F797EDF4-31A9-4436-BA30-04F686BB922F}"/>
    <cellStyle name="Comma 742 4" xfId="5174" xr:uid="{B03DA3B4-974D-4C50-A5A8-EC6E020ED986}"/>
    <cellStyle name="Comma 743" xfId="983" xr:uid="{DC988B34-0A31-491E-9145-40B6C366FAC5}"/>
    <cellStyle name="Comma 743 2" xfId="2021" xr:uid="{AF53B96E-37BF-45D7-A9E8-CF911DB0841A}"/>
    <cellStyle name="Comma 743 2 2" xfId="4079" xr:uid="{CC74FCC5-8EB1-48BF-8209-642035D15AFD}"/>
    <cellStyle name="Comma 743 3" xfId="3049" xr:uid="{46D6D5B2-40A9-4068-8DE3-6C911B89E483}"/>
    <cellStyle name="Comma 743 4" xfId="5175" xr:uid="{0038FF65-34B4-4CB9-926A-9E2CC99A670F}"/>
    <cellStyle name="Comma 744" xfId="984" xr:uid="{CC9F0AF4-3C11-4DA8-89C4-B9163ABB6094}"/>
    <cellStyle name="Comma 744 2" xfId="2022" xr:uid="{E5606532-DB34-4E1C-B068-D659B0DCBA59}"/>
    <cellStyle name="Comma 744 2 2" xfId="4080" xr:uid="{E4C2DE7E-7F9D-4293-94F9-7B4D15CCED92}"/>
    <cellStyle name="Comma 744 3" xfId="3050" xr:uid="{8FF084EC-1781-4AF5-92D9-43B9CD2BBB7C}"/>
    <cellStyle name="Comma 744 4" xfId="5176" xr:uid="{1C9ADC34-7736-4CC7-B794-1733B21BAD72}"/>
    <cellStyle name="Comma 745" xfId="985" xr:uid="{DC63B68F-F818-4159-8769-400CF316E422}"/>
    <cellStyle name="Comma 745 2" xfId="2023" xr:uid="{34B70E65-D3F2-444F-9BDA-FD119878BE6C}"/>
    <cellStyle name="Comma 745 2 2" xfId="4081" xr:uid="{61870E45-53AC-4344-9604-B2B468230A41}"/>
    <cellStyle name="Comma 745 3" xfId="3051" xr:uid="{7964722A-ED48-4284-B0A4-39AA35DB5ED8}"/>
    <cellStyle name="Comma 745 4" xfId="5177" xr:uid="{084507D2-4FAF-4EEE-AF2C-27A8EBBEA0B7}"/>
    <cellStyle name="Comma 746" xfId="986" xr:uid="{DD792C47-655A-4E44-BFD4-1CA30EF88126}"/>
    <cellStyle name="Comma 746 2" xfId="2024" xr:uid="{E2E2190D-1A1A-4CA5-ACF1-842FE904E313}"/>
    <cellStyle name="Comma 746 2 2" xfId="4082" xr:uid="{794FE7A9-5CF5-464D-8302-4B0129E51746}"/>
    <cellStyle name="Comma 746 3" xfId="3052" xr:uid="{C64D7566-888B-43A5-9E68-0D6A13876B8D}"/>
    <cellStyle name="Comma 746 4" xfId="5178" xr:uid="{F3A65856-18BB-476E-8A66-4D50EB3F6619}"/>
    <cellStyle name="Comma 747" xfId="987" xr:uid="{9A9153D3-2767-4529-A8A5-ED5BA30E675F}"/>
    <cellStyle name="Comma 747 2" xfId="2025" xr:uid="{D3BA5256-4E66-4E8E-92C1-43976A718A8B}"/>
    <cellStyle name="Comma 747 2 2" xfId="4083" xr:uid="{5123F2BF-DEE8-4E6C-8425-18656DE156B9}"/>
    <cellStyle name="Comma 747 3" xfId="3053" xr:uid="{42399D7F-E250-4BC6-AE1B-3E405E967F0C}"/>
    <cellStyle name="Comma 747 4" xfId="5179" xr:uid="{FB34FE62-4AD9-4D85-B60D-BAC3C5ED1F4A}"/>
    <cellStyle name="Comma 748" xfId="988" xr:uid="{740ED02A-4B79-45E5-B928-B5E717605701}"/>
    <cellStyle name="Comma 748 2" xfId="2026" xr:uid="{C5829390-FBF5-4695-A131-444B15BBA79F}"/>
    <cellStyle name="Comma 748 2 2" xfId="4084" xr:uid="{7011CFEB-38F2-4014-8D97-EF7A20DDE6C9}"/>
    <cellStyle name="Comma 748 3" xfId="3054" xr:uid="{5E8DF34B-1184-4E53-BA04-362385B67ACA}"/>
    <cellStyle name="Comma 748 4" xfId="5180" xr:uid="{D0AC4690-41F7-4244-811C-0B06C855DB08}"/>
    <cellStyle name="Comma 749" xfId="989" xr:uid="{C8E6276A-CABE-4499-8B7C-F1B9A569293F}"/>
    <cellStyle name="Comma 749 2" xfId="2027" xr:uid="{FB019767-609A-4954-BA19-0DA755B2C78A}"/>
    <cellStyle name="Comma 749 2 2" xfId="4085" xr:uid="{CFCB5ABA-836A-4BDA-BE84-5E986D1FF3F5}"/>
    <cellStyle name="Comma 749 3" xfId="3055" xr:uid="{4EF94D64-BEFD-445D-8CFA-326139D828A4}"/>
    <cellStyle name="Comma 749 4" xfId="5181" xr:uid="{A6205009-B615-4097-8D54-993D8C847E44}"/>
    <cellStyle name="Comma 75" xfId="288" xr:uid="{CFB4C1AD-322F-4062-B8B5-A657D9C95928}"/>
    <cellStyle name="Comma 75 2" xfId="1353" xr:uid="{D2B2364E-6C84-430B-8889-347DE157E11A}"/>
    <cellStyle name="Comma 75 2 2" xfId="3411" xr:uid="{920A9383-64A2-43B1-A166-FBA67DB9D9F3}"/>
    <cellStyle name="Comma 75 3" xfId="2381" xr:uid="{1A1A81F9-3674-4BE0-974B-72611C8CED69}"/>
    <cellStyle name="Comma 75 4" xfId="4507" xr:uid="{E8605CE7-9FB7-49C4-BDB3-A46D057BBF7C}"/>
    <cellStyle name="Comma 750" xfId="990" xr:uid="{85E1522D-24CF-4420-A89E-952F4CA82A5B}"/>
    <cellStyle name="Comma 750 2" xfId="2028" xr:uid="{884E6F8E-599E-46F3-B12A-6017B0D9954C}"/>
    <cellStyle name="Comma 750 2 2" xfId="4086" xr:uid="{9A96BD89-485C-4E50-B8F1-25918F8EB6E9}"/>
    <cellStyle name="Comma 750 3" xfId="3056" xr:uid="{41013789-A5FF-4ADE-9066-60E0E3CDA5FC}"/>
    <cellStyle name="Comma 750 4" xfId="5182" xr:uid="{5C0FDCA6-5D3F-48A9-8862-C8A59B506CB7}"/>
    <cellStyle name="Comma 751" xfId="991" xr:uid="{C54845E1-B8E5-4E06-B059-4BB617289D77}"/>
    <cellStyle name="Comma 751 2" xfId="2029" xr:uid="{9AB0BECB-EAE6-4957-8C63-6E305D410776}"/>
    <cellStyle name="Comma 751 2 2" xfId="4087" xr:uid="{D48A9CD9-1496-451A-A5D9-E2DBCEEBE544}"/>
    <cellStyle name="Comma 751 3" xfId="3057" xr:uid="{B8911A7D-FC51-40B8-B0FD-B45F3F781B55}"/>
    <cellStyle name="Comma 751 4" xfId="5183" xr:uid="{DE6882E5-ED54-49E6-923E-74FA3E20BC81}"/>
    <cellStyle name="Comma 752" xfId="992" xr:uid="{9FB34232-D606-4595-903B-CBDF640F3763}"/>
    <cellStyle name="Comma 752 2" xfId="2030" xr:uid="{E5F2E6E5-8273-405A-82A0-A1482EA04070}"/>
    <cellStyle name="Comma 752 2 2" xfId="4088" xr:uid="{7E1FEF5A-1491-45AF-B183-858C4FD919C0}"/>
    <cellStyle name="Comma 752 3" xfId="3058" xr:uid="{D5D7EFC0-49AF-4563-A69B-71A67DB05696}"/>
    <cellStyle name="Comma 752 4" xfId="5184" xr:uid="{AF6A14C6-C8C9-40EF-BE4D-CDF536CA99F3}"/>
    <cellStyle name="Comma 753" xfId="993" xr:uid="{6CB37D44-89F6-4A29-AF28-4A453C16A0CC}"/>
    <cellStyle name="Comma 753 2" xfId="2031" xr:uid="{004BB3D9-7230-4DD9-8F57-43513AB252EF}"/>
    <cellStyle name="Comma 753 2 2" xfId="4089" xr:uid="{7C8A6936-49EA-499C-9B2E-8AB3BC3DB6BA}"/>
    <cellStyle name="Comma 753 3" xfId="3059" xr:uid="{A7351CBC-8F0C-4060-AE28-D4D3AF1FF2BE}"/>
    <cellStyle name="Comma 753 4" xfId="5185" xr:uid="{904F9A23-1B07-48BA-B457-0E27DCB305F3}"/>
    <cellStyle name="Comma 754" xfId="994" xr:uid="{E61E6E18-FF7A-45E3-8E37-5B21BF71D33E}"/>
    <cellStyle name="Comma 754 2" xfId="2032" xr:uid="{CA7D1172-8D86-46EE-BF9E-5E4D82D621BB}"/>
    <cellStyle name="Comma 754 2 2" xfId="4090" xr:uid="{56543CBC-47AA-448F-8BE2-1E087B528CF5}"/>
    <cellStyle name="Comma 754 3" xfId="3060" xr:uid="{46432A26-0C81-4BCE-9AEB-F36A7F6F09A6}"/>
    <cellStyle name="Comma 754 4" xfId="5186" xr:uid="{BD1DB889-1583-4F45-A4B4-76D7FF5F07D3}"/>
    <cellStyle name="Comma 755" xfId="995" xr:uid="{D52A7725-7A45-4624-9C11-F2943134035F}"/>
    <cellStyle name="Comma 755 2" xfId="2033" xr:uid="{54EB9BAB-B3E9-4F43-B192-54D6701942A1}"/>
    <cellStyle name="Comma 755 2 2" xfId="4091" xr:uid="{0E347590-5945-410E-8FF2-798C1C2B0E32}"/>
    <cellStyle name="Comma 755 3" xfId="3061" xr:uid="{6833C0FB-48DE-4D65-877D-9062BA22FC78}"/>
    <cellStyle name="Comma 755 4" xfId="5187" xr:uid="{BA09E638-E9C0-4B91-B677-52C0B32D6578}"/>
    <cellStyle name="Comma 756" xfId="996" xr:uid="{FC397E92-8B0B-415A-A99D-032D2E1E73FE}"/>
    <cellStyle name="Comma 756 2" xfId="2034" xr:uid="{C084DCC5-2372-4CF6-87EA-88A0E86FF7AA}"/>
    <cellStyle name="Comma 756 2 2" xfId="4092" xr:uid="{4C754423-77D9-4483-9434-DD2367A9E3C5}"/>
    <cellStyle name="Comma 756 3" xfId="3062" xr:uid="{7B74CE19-9D7C-4451-A9D7-51AC63E6236B}"/>
    <cellStyle name="Comma 756 4" xfId="5188" xr:uid="{D2795248-CEE8-4F26-A365-5F7B2AD9BB0B}"/>
    <cellStyle name="Comma 757" xfId="997" xr:uid="{A823B1EB-6798-4E28-A2F7-071F5DFB9D33}"/>
    <cellStyle name="Comma 757 2" xfId="2035" xr:uid="{09D69B7A-7694-46D7-A1E8-F92FD3C4116D}"/>
    <cellStyle name="Comma 757 2 2" xfId="4093" xr:uid="{30201A4A-AB3B-49A2-AC77-A71813056D49}"/>
    <cellStyle name="Comma 757 3" xfId="3063" xr:uid="{F796E91A-6417-41B0-B4C0-01AA5332D777}"/>
    <cellStyle name="Comma 757 4" xfId="5189" xr:uid="{D1CB296A-003E-4DA5-B98A-2AE2FD8AAB68}"/>
    <cellStyle name="Comma 758" xfId="998" xr:uid="{66704FEB-75BD-4578-B78C-7B45C5BCD2F8}"/>
    <cellStyle name="Comma 758 2" xfId="2036" xr:uid="{DDF514A7-61FC-4AA2-8D9C-18603831ED48}"/>
    <cellStyle name="Comma 758 2 2" xfId="4094" xr:uid="{CA5E5DFF-4745-4864-BCDA-B79B20093CC9}"/>
    <cellStyle name="Comma 758 3" xfId="3064" xr:uid="{1153CD1D-83BA-4B27-820B-3F84717FD46F}"/>
    <cellStyle name="Comma 758 4" xfId="5190" xr:uid="{900984A8-51E7-41BA-B757-216D5BEC9B1D}"/>
    <cellStyle name="Comma 759" xfId="999" xr:uid="{74E281D2-236C-4A34-BD73-74149C70861A}"/>
    <cellStyle name="Comma 759 2" xfId="2037" xr:uid="{04136C2F-8CA7-447F-B285-CF46F05C734A}"/>
    <cellStyle name="Comma 759 2 2" xfId="4095" xr:uid="{15951416-2516-43E0-8878-35695E751F10}"/>
    <cellStyle name="Comma 759 3" xfId="3065" xr:uid="{A96CC902-EC4A-4FF5-BB06-BE5F46F2B9B8}"/>
    <cellStyle name="Comma 759 4" xfId="5191" xr:uid="{F84D424E-485B-4BFF-97BD-2388E1A8DDB6}"/>
    <cellStyle name="Comma 76" xfId="289" xr:uid="{7DC4BEB5-651B-4F0B-970C-A062761D13EF}"/>
    <cellStyle name="Comma 76 2" xfId="1354" xr:uid="{13447B68-7C2D-49DF-BB1A-2856E2EABDE7}"/>
    <cellStyle name="Comma 76 2 2" xfId="3412" xr:uid="{1A290B6F-2C00-450D-8198-355E560733B7}"/>
    <cellStyle name="Comma 76 3" xfId="2382" xr:uid="{4E2E0F32-B8DE-415D-A8AC-C3777B3A046C}"/>
    <cellStyle name="Comma 76 4" xfId="4508" xr:uid="{32900EAF-8BDC-42FC-AB7E-9DFDB9266434}"/>
    <cellStyle name="Comma 760" xfId="1000" xr:uid="{80C7D3FE-4F90-485F-BB5A-730DB50C559B}"/>
    <cellStyle name="Comma 760 2" xfId="2038" xr:uid="{23B2FB40-F798-401B-8B29-BFD7E303C2C5}"/>
    <cellStyle name="Comma 760 2 2" xfId="4096" xr:uid="{40F687D6-640F-4C02-B463-F0EA131462AC}"/>
    <cellStyle name="Comma 760 3" xfId="3066" xr:uid="{5B3CD299-5C4A-4E61-A160-F8166F0509A4}"/>
    <cellStyle name="Comma 760 4" xfId="5192" xr:uid="{C88E970A-D710-4551-A828-829EB3E8C520}"/>
    <cellStyle name="Comma 761" xfId="1001" xr:uid="{3F091C6B-5E87-4791-A885-97DC3FE2E150}"/>
    <cellStyle name="Comma 761 2" xfId="2039" xr:uid="{2B412FEA-6B1A-4995-9B62-8F8AA3B5F0B0}"/>
    <cellStyle name="Comma 761 2 2" xfId="4097" xr:uid="{FD6FEA32-5320-48A5-B312-792A4BB79DAE}"/>
    <cellStyle name="Comma 761 3" xfId="3067" xr:uid="{6E347450-B660-42F7-A42E-6E10C02E67BA}"/>
    <cellStyle name="Comma 761 4" xfId="5193" xr:uid="{D309DBE0-9BA5-4259-AF2D-E8BDC95F6789}"/>
    <cellStyle name="Comma 762" xfId="1002" xr:uid="{A0B42FF0-F426-4482-A6B2-0818ED3A1AE7}"/>
    <cellStyle name="Comma 762 2" xfId="2040" xr:uid="{DEC85766-436E-46C8-973C-A131EB826C1D}"/>
    <cellStyle name="Comma 762 2 2" xfId="4098" xr:uid="{406C9B14-AE49-490A-9871-17FFA081B0C2}"/>
    <cellStyle name="Comma 762 3" xfId="3068" xr:uid="{E23BD4C8-F529-41F3-A5F5-5BFACA908935}"/>
    <cellStyle name="Comma 762 4" xfId="5194" xr:uid="{1164DC48-9C05-4030-9827-E85FB1F5AB27}"/>
    <cellStyle name="Comma 763" xfId="1003" xr:uid="{D2C9B864-7FB6-4FC2-94BF-D3A8593B2D08}"/>
    <cellStyle name="Comma 763 2" xfId="2041" xr:uid="{D559BE2B-6488-4454-BB18-AECF3D0DC24D}"/>
    <cellStyle name="Comma 763 2 2" xfId="4099" xr:uid="{A1C8E203-50D8-4668-B9A8-400656B9C4EE}"/>
    <cellStyle name="Comma 763 3" xfId="3069" xr:uid="{817A4858-A10D-4A7C-8A72-F48DE1F0A98D}"/>
    <cellStyle name="Comma 763 4" xfId="5195" xr:uid="{DD77B5F1-6734-4BF1-8BB2-0166839A326C}"/>
    <cellStyle name="Comma 764" xfId="1004" xr:uid="{2B4BFB05-4A01-4682-8BBF-7A94723B264B}"/>
    <cellStyle name="Comma 764 2" xfId="2042" xr:uid="{7165B608-348C-41DA-87B7-F4C9CC6369D9}"/>
    <cellStyle name="Comma 764 2 2" xfId="4100" xr:uid="{37AB8FE0-997C-49A1-BEFD-86C84967D81D}"/>
    <cellStyle name="Comma 764 3" xfId="3070" xr:uid="{255375D3-BFC7-43D7-8A03-0FF15602E10A}"/>
    <cellStyle name="Comma 764 4" xfId="5196" xr:uid="{38FF5CC6-9AF3-49C2-9E0C-875C5F46D4D9}"/>
    <cellStyle name="Comma 765" xfId="1005" xr:uid="{8D5CCCDE-3E2D-465E-BA32-7A908D8D90C1}"/>
    <cellStyle name="Comma 765 2" xfId="2043" xr:uid="{0BFF451B-6B71-4925-A506-FA6EB3B8388A}"/>
    <cellStyle name="Comma 765 2 2" xfId="4101" xr:uid="{991BA38A-DE73-4A46-AD8F-F1D8B4B94E7D}"/>
    <cellStyle name="Comma 765 3" xfId="3071" xr:uid="{51D3D6E8-C7B6-4A96-B195-F1BBD0258108}"/>
    <cellStyle name="Comma 765 4" xfId="5197" xr:uid="{D54B9D77-4AA1-45E2-AAD5-7D117D143AAD}"/>
    <cellStyle name="Comma 766" xfId="1006" xr:uid="{8CE88248-11C1-454D-9FDE-F1C32A4FA1CD}"/>
    <cellStyle name="Comma 766 2" xfId="2044" xr:uid="{34040A0E-AA35-4D15-90E0-9FC1971EC651}"/>
    <cellStyle name="Comma 766 2 2" xfId="4102" xr:uid="{A51B2530-E39F-451F-BD16-DDA974258F5D}"/>
    <cellStyle name="Comma 766 3" xfId="3072" xr:uid="{FF0FE157-FF82-46D6-91BE-7E6B69CB9D74}"/>
    <cellStyle name="Comma 766 4" xfId="5198" xr:uid="{4E18B723-3D6F-4A81-BEB2-BBE04C691EFE}"/>
    <cellStyle name="Comma 767" xfId="1007" xr:uid="{8BE006D4-3A14-414E-B000-C050B90E2AB9}"/>
    <cellStyle name="Comma 767 2" xfId="2045" xr:uid="{A2EDE219-FE64-4ED7-B4E6-8D0228CD2C21}"/>
    <cellStyle name="Comma 767 2 2" xfId="4103" xr:uid="{2155CB14-052B-47B6-A877-1490F8D35A6D}"/>
    <cellStyle name="Comma 767 3" xfId="3073" xr:uid="{180346F9-D783-43DF-B10C-7C424B345EDB}"/>
    <cellStyle name="Comma 767 4" xfId="5199" xr:uid="{803F97B4-096A-45A0-91F0-C20C1A81D676}"/>
    <cellStyle name="Comma 768" xfId="1008" xr:uid="{0E91708D-3B5F-47B0-872F-1279C431EDFC}"/>
    <cellStyle name="Comma 768 2" xfId="2046" xr:uid="{4B9D870F-8E78-4E15-8A4F-022927054F61}"/>
    <cellStyle name="Comma 768 2 2" xfId="4104" xr:uid="{F39E5F40-B66E-472D-833B-B07E4020271A}"/>
    <cellStyle name="Comma 768 3" xfId="3074" xr:uid="{015B4414-170F-4DD2-B3B6-7E4A6937E233}"/>
    <cellStyle name="Comma 768 4" xfId="5200" xr:uid="{E0BF3BCA-CDF0-415C-92DE-BBD36B355BB1}"/>
    <cellStyle name="Comma 769" xfId="1009" xr:uid="{C5B90C9F-39B2-4FE6-95C8-D6A68D48325A}"/>
    <cellStyle name="Comma 769 2" xfId="2047" xr:uid="{253E09E4-C40E-41D3-998D-020F3085AA67}"/>
    <cellStyle name="Comma 769 2 2" xfId="4105" xr:uid="{4FA8B453-6934-475D-A174-7B6859530E83}"/>
    <cellStyle name="Comma 769 3" xfId="3075" xr:uid="{B233FBD3-FBCD-4806-B1A9-CCCAB5E4748C}"/>
    <cellStyle name="Comma 769 4" xfId="5201" xr:uid="{14C4BC31-601F-41F6-86DB-E69A75DB7067}"/>
    <cellStyle name="Comma 77" xfId="290" xr:uid="{ECD79BC8-B446-4D57-B42C-23D2B0620CB7}"/>
    <cellStyle name="Comma 77 2" xfId="1355" xr:uid="{94E85596-24BC-408A-9468-C441C2DF0653}"/>
    <cellStyle name="Comma 77 2 2" xfId="3413" xr:uid="{1F622E6D-0CE2-4578-A2B0-CE9FCEB43E1A}"/>
    <cellStyle name="Comma 77 3" xfId="2383" xr:uid="{1936373F-2F7A-4A1F-913A-FAEB58516959}"/>
    <cellStyle name="Comma 77 4" xfId="4509" xr:uid="{E3810EE7-3C04-47D3-B70E-E2DADE9DA434}"/>
    <cellStyle name="Comma 770" xfId="1010" xr:uid="{0931D7E4-A729-40D0-8408-48A734F6A053}"/>
    <cellStyle name="Comma 770 2" xfId="2048" xr:uid="{55BDC774-FB07-4D99-B454-E8C781C4C491}"/>
    <cellStyle name="Comma 770 2 2" xfId="4106" xr:uid="{1135D8CD-EED5-44DD-9693-DBF823EAA5CC}"/>
    <cellStyle name="Comma 770 3" xfId="3076" xr:uid="{DA231126-1566-4FA8-88D0-BDF03A58AD40}"/>
    <cellStyle name="Comma 770 4" xfId="5202" xr:uid="{E18A1737-886F-4B03-9380-459564771581}"/>
    <cellStyle name="Comma 771" xfId="1011" xr:uid="{723ADEA3-411D-465B-ADA0-3580426C16CF}"/>
    <cellStyle name="Comma 771 2" xfId="2049" xr:uid="{62276E40-260C-46FA-A4C9-6553B1288E11}"/>
    <cellStyle name="Comma 771 2 2" xfId="4107" xr:uid="{EA13DAB5-604A-425C-9285-A77CC140BF9D}"/>
    <cellStyle name="Comma 771 3" xfId="3077" xr:uid="{1E721F5C-080C-4937-8AC9-B9EA392CB226}"/>
    <cellStyle name="Comma 771 4" xfId="5203" xr:uid="{906307B0-B8CF-447F-B787-AE31E828040E}"/>
    <cellStyle name="Comma 772" xfId="1012" xr:uid="{93E30F42-EC1C-4834-A305-0E01374197C6}"/>
    <cellStyle name="Comma 772 2" xfId="2050" xr:uid="{C61BD08E-C448-4FBF-A786-F902D46F4FB3}"/>
    <cellStyle name="Comma 772 2 2" xfId="4108" xr:uid="{12DFD550-8B57-4C6B-929F-5CBA49A7D11E}"/>
    <cellStyle name="Comma 772 3" xfId="3078" xr:uid="{9DE6061A-9B01-432C-81FB-A52EA3DDC9E5}"/>
    <cellStyle name="Comma 772 4" xfId="5204" xr:uid="{4C1B46F3-1456-49C8-9FA4-62612D080262}"/>
    <cellStyle name="Comma 773" xfId="1013" xr:uid="{D715F4E5-8230-42ED-91AB-CFCC57A5B076}"/>
    <cellStyle name="Comma 773 2" xfId="2051" xr:uid="{5ABBF01D-4270-4C27-A889-73BD5F9E9B50}"/>
    <cellStyle name="Comma 773 2 2" xfId="4109" xr:uid="{DCBBD6D6-FEAE-4C5C-ABE1-0D0F256AE3AA}"/>
    <cellStyle name="Comma 773 3" xfId="3079" xr:uid="{A8BF9A69-E9BF-44C4-8F3B-AB0BB34B8633}"/>
    <cellStyle name="Comma 773 4" xfId="5205" xr:uid="{9A236CF2-25CF-4FB9-9653-EBB4D34D9BB5}"/>
    <cellStyle name="Comma 774" xfId="1014" xr:uid="{F8432EC1-775C-413A-B7E8-60032084851A}"/>
    <cellStyle name="Comma 774 2" xfId="2052" xr:uid="{416D5D1B-D29D-47FD-8BC3-085AE61986A1}"/>
    <cellStyle name="Comma 774 2 2" xfId="4110" xr:uid="{0016EA46-ECAC-416E-82BD-60EA07027C63}"/>
    <cellStyle name="Comma 774 3" xfId="3080" xr:uid="{702E6F46-1E33-4662-A6DC-242924756B85}"/>
    <cellStyle name="Comma 774 4" xfId="5206" xr:uid="{397B2AF0-D5A6-423B-9C9F-E07313269857}"/>
    <cellStyle name="Comma 775" xfId="1015" xr:uid="{2CDE34B7-74FE-4BCD-AEB8-800147DA713D}"/>
    <cellStyle name="Comma 775 2" xfId="2053" xr:uid="{481FC255-1FC3-4488-A553-90337F8C7DD6}"/>
    <cellStyle name="Comma 775 2 2" xfId="4111" xr:uid="{1152757D-925E-42E4-9366-231490925B57}"/>
    <cellStyle name="Comma 775 3" xfId="3081" xr:uid="{D3FF2696-8FC6-47FB-8732-0FF1423360FA}"/>
    <cellStyle name="Comma 775 4" xfId="5207" xr:uid="{58D52178-4DBC-4785-9D61-B295D0F54247}"/>
    <cellStyle name="Comma 776" xfId="1016" xr:uid="{B80FCC5B-465D-4A92-B520-D2D72C537C77}"/>
    <cellStyle name="Comma 776 2" xfId="2054" xr:uid="{AF5F9DAC-EB47-4D9C-808A-B39022C7ED9D}"/>
    <cellStyle name="Comma 776 2 2" xfId="4112" xr:uid="{96234E90-EB49-4E80-B13B-2152EA0A1558}"/>
    <cellStyle name="Comma 776 3" xfId="3082" xr:uid="{69A447BE-71ED-4D3E-9410-17B47E911F63}"/>
    <cellStyle name="Comma 776 4" xfId="5208" xr:uid="{5A1106A3-54ED-4C5A-8D86-0E24CB1C8B6F}"/>
    <cellStyle name="Comma 777" xfId="1017" xr:uid="{D40BE07A-B4F6-407E-B8C0-E6B57BCC9ED8}"/>
    <cellStyle name="Comma 777 2" xfId="2055" xr:uid="{9ABE9E09-A335-438C-BD9A-6F184575029B}"/>
    <cellStyle name="Comma 777 2 2" xfId="4113" xr:uid="{243ED1F7-79B7-486C-A12F-5A03F02DDF18}"/>
    <cellStyle name="Comma 777 3" xfId="3083" xr:uid="{4DF41D66-CAF7-4771-9E27-C94310724AD5}"/>
    <cellStyle name="Comma 777 4" xfId="5209" xr:uid="{25758337-B1DD-496B-97D1-2EF30587A888}"/>
    <cellStyle name="Comma 778" xfId="1018" xr:uid="{356EB9C8-4135-446D-8400-21C3AD993AB6}"/>
    <cellStyle name="Comma 778 2" xfId="2056" xr:uid="{46C67A81-8BBD-449B-A97F-57B2F4BBE44B}"/>
    <cellStyle name="Comma 778 2 2" xfId="4114" xr:uid="{E6CCE4AB-0626-402A-9525-C8BF209493C9}"/>
    <cellStyle name="Comma 778 3" xfId="3084" xr:uid="{35F2F8F9-4F85-467B-ABA8-9A2E50AF9845}"/>
    <cellStyle name="Comma 778 4" xfId="5210" xr:uid="{9E2E5F1C-FFC6-4DD0-8410-299D8BE03939}"/>
    <cellStyle name="Comma 779" xfId="1019" xr:uid="{E8CED299-F35C-4654-9D2F-E625524E4C7E}"/>
    <cellStyle name="Comma 779 2" xfId="2057" xr:uid="{0EEE7242-E480-4033-A375-B23A2B99FF49}"/>
    <cellStyle name="Comma 779 2 2" xfId="4115" xr:uid="{C43967FA-8322-4ED8-ABA1-EFA24A78CAB7}"/>
    <cellStyle name="Comma 779 3" xfId="3085" xr:uid="{53FF1D1E-9FB6-4E95-A9B3-B0722B02D9E9}"/>
    <cellStyle name="Comma 779 4" xfId="5211" xr:uid="{9518A0BF-F801-4152-9BDF-9F5CDF01D14C}"/>
    <cellStyle name="Comma 78" xfId="291" xr:uid="{E9C68E09-92FB-430E-9440-035F48AE2A85}"/>
    <cellStyle name="Comma 78 2" xfId="1356" xr:uid="{935C2436-8A16-4813-A63F-E4D0ED78ED2C}"/>
    <cellStyle name="Comma 78 2 2" xfId="3414" xr:uid="{7CC6817F-0FB9-4A17-8003-52A0FC1A376D}"/>
    <cellStyle name="Comma 78 3" xfId="2384" xr:uid="{CDD8CEF8-E660-4AD8-81DF-3D242F1312AF}"/>
    <cellStyle name="Comma 78 4" xfId="4510" xr:uid="{05798106-1EAB-4C0C-BBA4-D59713E439EB}"/>
    <cellStyle name="Comma 780" xfId="1020" xr:uid="{1EAB6831-024A-4420-8585-A83EF01E6CE0}"/>
    <cellStyle name="Comma 780 2" xfId="2058" xr:uid="{EFD42A1A-5BAE-4C71-B49A-3BE2962D7C5E}"/>
    <cellStyle name="Comma 780 2 2" xfId="4116" xr:uid="{DFEFAEE9-320E-486D-AA86-F98E70F7E3F1}"/>
    <cellStyle name="Comma 780 3" xfId="3086" xr:uid="{E6A69ACE-87A7-48BC-B50C-EC3C4850AB22}"/>
    <cellStyle name="Comma 780 4" xfId="5212" xr:uid="{E8FC2366-E48F-47AD-A541-5DEC3020A748}"/>
    <cellStyle name="Comma 781" xfId="1021" xr:uid="{1F529C4B-0815-493F-8E03-F3AFF64F421B}"/>
    <cellStyle name="Comma 781 2" xfId="2059" xr:uid="{2EE85927-F36C-45E7-BAE0-959F97ACE027}"/>
    <cellStyle name="Comma 781 2 2" xfId="4117" xr:uid="{A4120C44-25B3-4495-9348-5EEBB898C21A}"/>
    <cellStyle name="Comma 781 3" xfId="3087" xr:uid="{EEA37E1C-ED25-49BE-ACDC-52BB6926B4C7}"/>
    <cellStyle name="Comma 781 4" xfId="5213" xr:uid="{8C04E074-0128-4F9D-8394-610690E08B56}"/>
    <cellStyle name="Comma 782" xfId="1022" xr:uid="{D3EB4A7E-5211-48C0-BB88-E4C4D6508DBE}"/>
    <cellStyle name="Comma 782 2" xfId="2060" xr:uid="{BA2EDE29-951C-4327-BD73-3BEEB0F8BB78}"/>
    <cellStyle name="Comma 782 2 2" xfId="4118" xr:uid="{B1518211-7D9B-45CB-8409-063CCE472C1A}"/>
    <cellStyle name="Comma 782 3" xfId="3088" xr:uid="{709F0052-3150-4381-BACD-6A6096D9078A}"/>
    <cellStyle name="Comma 782 4" xfId="5214" xr:uid="{8EF53806-58BD-43EE-BD21-77C916FF9130}"/>
    <cellStyle name="Comma 783" xfId="1023" xr:uid="{F7A2DE00-BA80-4E7A-9728-593262AF4284}"/>
    <cellStyle name="Comma 783 2" xfId="2061" xr:uid="{5E9F2E2C-62A9-4C56-BEAC-548138AE54F1}"/>
    <cellStyle name="Comma 783 2 2" xfId="4119" xr:uid="{C18724FA-A2B2-44C1-9A3E-6596F1A3CE5F}"/>
    <cellStyle name="Comma 783 3" xfId="3089" xr:uid="{9DAE7F3A-717C-44E7-8311-B7FFAF1B6F29}"/>
    <cellStyle name="Comma 783 4" xfId="5215" xr:uid="{44B2D97A-0716-4D43-9A83-117E28BF14DA}"/>
    <cellStyle name="Comma 784" xfId="1024" xr:uid="{460C835F-2065-43B6-8FE1-725C2CCA98C5}"/>
    <cellStyle name="Comma 784 2" xfId="2062" xr:uid="{7B566245-8DC8-4F48-99C9-9507FAA42E6F}"/>
    <cellStyle name="Comma 784 2 2" xfId="4120" xr:uid="{340337F4-466B-49B9-9B1C-4789313937A7}"/>
    <cellStyle name="Comma 784 3" xfId="3090" xr:uid="{46A560E5-9E61-4B6C-BAFD-BF429B4B5D21}"/>
    <cellStyle name="Comma 784 4" xfId="5216" xr:uid="{2FC404D5-C84F-41A2-A421-5F1A41A449F0}"/>
    <cellStyle name="Comma 785" xfId="1025" xr:uid="{B7FF3C6D-B76A-419B-AC63-C912A506EBFB}"/>
    <cellStyle name="Comma 785 2" xfId="2063" xr:uid="{34B5C547-0055-4541-B759-470540DE46B4}"/>
    <cellStyle name="Comma 785 2 2" xfId="4121" xr:uid="{0738446A-70A2-48F0-A129-72196613F70B}"/>
    <cellStyle name="Comma 785 3" xfId="3091" xr:uid="{88E1A51D-0998-4CF9-83AB-1C677AAA1DCB}"/>
    <cellStyle name="Comma 785 4" xfId="5217" xr:uid="{56EDB522-3555-4946-8EC3-9F4CD622B183}"/>
    <cellStyle name="Comma 786" xfId="1026" xr:uid="{465F0B7F-1A34-49EE-9DCB-8DFCDDF6097B}"/>
    <cellStyle name="Comma 786 2" xfId="2064" xr:uid="{8E8D6BF7-5C8E-4E71-ADA2-F2646AF6C940}"/>
    <cellStyle name="Comma 786 2 2" xfId="4122" xr:uid="{3B0D777B-5825-471A-BAB8-E4FCBCA6B1A8}"/>
    <cellStyle name="Comma 786 3" xfId="3092" xr:uid="{C70BDFEB-1BD8-4B4D-94AE-4B8F6A7CE499}"/>
    <cellStyle name="Comma 786 4" xfId="5218" xr:uid="{FA54157A-2D09-4457-8F25-D2BABFE5FBD7}"/>
    <cellStyle name="Comma 787" xfId="1027" xr:uid="{58F01476-18DB-49AD-9C63-E28B85709F13}"/>
    <cellStyle name="Comma 787 2" xfId="2065" xr:uid="{AB135E98-0218-43C1-BC89-7DF40C6CEC57}"/>
    <cellStyle name="Comma 787 2 2" xfId="4123" xr:uid="{99496259-B6AD-4F1B-9C09-FB9099CD5296}"/>
    <cellStyle name="Comma 787 3" xfId="3093" xr:uid="{EFDFEB6C-EB31-41A5-A4C9-0A4F87F9CEE0}"/>
    <cellStyle name="Comma 787 4" xfId="5219" xr:uid="{47211637-F509-4B60-BBB3-DD68941C69ED}"/>
    <cellStyle name="Comma 788" xfId="1028" xr:uid="{1C026A37-F342-43BF-8D12-F943D1B12FBE}"/>
    <cellStyle name="Comma 788 2" xfId="2066" xr:uid="{A8DD7CE2-0BF6-4EE2-93E9-6D28C92BBE0C}"/>
    <cellStyle name="Comma 788 2 2" xfId="4124" xr:uid="{916DFC0E-1623-4857-BF49-8BB4AA85CCC6}"/>
    <cellStyle name="Comma 788 3" xfId="3094" xr:uid="{6ECEA4D1-C97A-422C-BD75-0C98483E4FE3}"/>
    <cellStyle name="Comma 788 4" xfId="5220" xr:uid="{6B12EE37-8836-4818-9ADD-70761655B7F1}"/>
    <cellStyle name="Comma 789" xfId="1029" xr:uid="{92444CB5-8BDF-4AE2-8A06-99358E72CA1E}"/>
    <cellStyle name="Comma 789 2" xfId="2067" xr:uid="{B354A7A8-3E35-49DD-BE0E-FB340B45EA55}"/>
    <cellStyle name="Comma 789 2 2" xfId="4125" xr:uid="{8FFB6A2C-700B-404E-AC21-5B8B41AD206E}"/>
    <cellStyle name="Comma 789 3" xfId="3095" xr:uid="{99D3353B-444A-40C8-86F9-782394FD741C}"/>
    <cellStyle name="Comma 789 4" xfId="5221" xr:uid="{2A260AD9-8917-48CB-BA11-A6D1390D3552}"/>
    <cellStyle name="Comma 79" xfId="292" xr:uid="{93552BE5-7938-432A-B935-FB35D27C656C}"/>
    <cellStyle name="Comma 79 2" xfId="1357" xr:uid="{D5BDC577-ABF2-43C4-841C-76929A298571}"/>
    <cellStyle name="Comma 79 2 2" xfId="3415" xr:uid="{F67AF015-144D-4D0B-8FBC-B395F815F9DF}"/>
    <cellStyle name="Comma 79 3" xfId="2385" xr:uid="{C3CCAE6E-748A-4517-89F6-D8324B0AC912}"/>
    <cellStyle name="Comma 79 4" xfId="4511" xr:uid="{FC4A5A75-ACCA-47C0-A111-79C6FBF05193}"/>
    <cellStyle name="Comma 790" xfId="1030" xr:uid="{6411665D-68A0-4E0F-8066-511FE083AAF6}"/>
    <cellStyle name="Comma 790 2" xfId="2068" xr:uid="{E0F1AFF8-A0F6-4337-A5E3-2B1F8BD34A7A}"/>
    <cellStyle name="Comma 790 2 2" xfId="4126" xr:uid="{D1D49319-98F8-41F7-83EE-64AE18D7651C}"/>
    <cellStyle name="Comma 790 3" xfId="3096" xr:uid="{BD64CDF2-B9EA-4C38-BC98-F63E5C1A51E8}"/>
    <cellStyle name="Comma 790 4" xfId="5222" xr:uid="{614BAA1D-A7B4-49CA-AB68-DD5BA3444628}"/>
    <cellStyle name="Comma 791" xfId="1031" xr:uid="{88E8C9BD-F414-496F-8C1C-732DE95DB69B}"/>
    <cellStyle name="Comma 791 2" xfId="2069" xr:uid="{5DC4BB78-EC6D-4807-A811-870D74FBB9FA}"/>
    <cellStyle name="Comma 791 2 2" xfId="4127" xr:uid="{400A1892-5034-4856-ADBA-B31D9DAD7781}"/>
    <cellStyle name="Comma 791 3" xfId="3097" xr:uid="{F35ACAF2-6B7C-44FB-AFB7-53A8D3084708}"/>
    <cellStyle name="Comma 791 4" xfId="5223" xr:uid="{2A06EF35-585D-4EED-BA0F-98A57CF282AC}"/>
    <cellStyle name="Comma 792" xfId="1032" xr:uid="{A2B65E50-F84A-401F-827E-103FE95EBF6A}"/>
    <cellStyle name="Comma 792 2" xfId="2070" xr:uid="{C16C2346-0F96-4803-99A5-ABFEBF2255B3}"/>
    <cellStyle name="Comma 792 2 2" xfId="4128" xr:uid="{83A98143-2949-485B-A6AB-7A93F10F2886}"/>
    <cellStyle name="Comma 792 3" xfId="3098" xr:uid="{31EEC573-55B8-4705-BD05-E389B3C8D721}"/>
    <cellStyle name="Comma 792 4" xfId="5224" xr:uid="{60F6B647-2371-4D93-9C59-C3FDCD1B0B53}"/>
    <cellStyle name="Comma 793" xfId="1033" xr:uid="{FDAFAD55-88ED-40B1-BAA6-937A106E0C29}"/>
    <cellStyle name="Comma 793 2" xfId="2071" xr:uid="{84420541-324D-4434-B131-83DC32C8ECB3}"/>
    <cellStyle name="Comma 793 2 2" xfId="4129" xr:uid="{2D78AF2E-5613-4D70-BBD0-03C8945A342F}"/>
    <cellStyle name="Comma 793 3" xfId="3099" xr:uid="{6C5061AA-B117-4166-8E32-60BE0566A1FF}"/>
    <cellStyle name="Comma 793 4" xfId="5225" xr:uid="{1C3E5DBB-5BFD-4C31-81A2-38DB81F309A6}"/>
    <cellStyle name="Comma 794" xfId="1034" xr:uid="{03A9522C-AC9F-4034-84A7-FECC47C1C5EA}"/>
    <cellStyle name="Comma 794 2" xfId="2072" xr:uid="{7BB3861F-F757-4E5E-94E1-EF806379D89A}"/>
    <cellStyle name="Comma 794 2 2" xfId="4130" xr:uid="{CDCC0BCB-12A8-4470-BCDF-5F82ACA871AE}"/>
    <cellStyle name="Comma 794 3" xfId="3100" xr:uid="{34E3469A-5394-45E2-8E87-F5CC26BB1FE1}"/>
    <cellStyle name="Comma 794 4" xfId="5226" xr:uid="{A0132CB3-323E-4264-8512-7B42A3AFE6F2}"/>
    <cellStyle name="Comma 795" xfId="1035" xr:uid="{A15BDEE9-B6C2-4F57-B48A-1B3CD39CEB30}"/>
    <cellStyle name="Comma 795 2" xfId="2073" xr:uid="{4C76DDD9-C964-4B12-8518-9A92217F8547}"/>
    <cellStyle name="Comma 795 2 2" xfId="4131" xr:uid="{52D173D9-063F-4471-A495-87AF4BE74511}"/>
    <cellStyle name="Comma 795 3" xfId="3101" xr:uid="{3F2491C3-B9A8-4A15-81DA-71F1B86FE198}"/>
    <cellStyle name="Comma 795 4" xfId="5227" xr:uid="{793A2DE1-64C6-4527-ACA0-5BECAE601B26}"/>
    <cellStyle name="Comma 796" xfId="1036" xr:uid="{34A61068-EBDC-43F5-B9DE-F51EFEA5B2EA}"/>
    <cellStyle name="Comma 796 2" xfId="2074" xr:uid="{FAD34091-A244-42A2-9A3C-07475BCEC06E}"/>
    <cellStyle name="Comma 796 2 2" xfId="4132" xr:uid="{C7663E09-BCAD-43E3-846B-B9F46D3C15EA}"/>
    <cellStyle name="Comma 796 3" xfId="3102" xr:uid="{648E744E-456B-4889-A940-6BD5A7FC7C96}"/>
    <cellStyle name="Comma 796 4" xfId="5228" xr:uid="{58076A51-CF09-4FC5-B63C-DFC132E93165}"/>
    <cellStyle name="Comma 797" xfId="1037" xr:uid="{7C23782C-FCF9-47E3-B709-6CB2181D26AB}"/>
    <cellStyle name="Comma 797 2" xfId="2075" xr:uid="{A990D86E-D819-4D1F-8434-F41D28777E99}"/>
    <cellStyle name="Comma 797 2 2" xfId="4133" xr:uid="{D0EF2A2E-BFC5-495D-ACD3-7F2C2BD1B29E}"/>
    <cellStyle name="Comma 797 3" xfId="3103" xr:uid="{9A4D1F4E-4F31-4090-9ECF-3F24B8A777E6}"/>
    <cellStyle name="Comma 797 4" xfId="5229" xr:uid="{B0A05BEA-48BD-476C-9E2C-B1EFC4E4685B}"/>
    <cellStyle name="Comma 798" xfId="1038" xr:uid="{AEE9AC04-8F2A-4D8A-A015-2814FD6BC8EB}"/>
    <cellStyle name="Comma 798 2" xfId="2076" xr:uid="{14DE4B33-FD17-4C0D-8E54-C960A3ED267F}"/>
    <cellStyle name="Comma 798 2 2" xfId="4134" xr:uid="{1F64D639-7FA2-4F1C-BD9D-B24648FD4109}"/>
    <cellStyle name="Comma 798 3" xfId="3104" xr:uid="{55C07345-C662-486D-9B8E-1213F0E9A916}"/>
    <cellStyle name="Comma 798 4" xfId="5230" xr:uid="{753F6C2F-7E73-4039-8F49-6DD914CA24C1}"/>
    <cellStyle name="Comma 799" xfId="1039" xr:uid="{2734B111-D638-4CF9-B32E-22CFACFC2537}"/>
    <cellStyle name="Comma 799 2" xfId="2077" xr:uid="{66277512-59F6-4E76-A3E2-B8DD6A426CA5}"/>
    <cellStyle name="Comma 799 2 2" xfId="4135" xr:uid="{953C47B9-1FB1-4B2C-AFF5-79AF2A467B9A}"/>
    <cellStyle name="Comma 799 3" xfId="3105" xr:uid="{9C9BC101-85B4-47BB-8E8E-4D28B8EC2B02}"/>
    <cellStyle name="Comma 799 4" xfId="5231" xr:uid="{3154E421-3C45-4243-B6EF-5641EF627089}"/>
    <cellStyle name="Comma 8" xfId="200" xr:uid="{2E85E71D-D188-4369-A48D-A467CBB02DD2}"/>
    <cellStyle name="Comma 8 2" xfId="1286" xr:uid="{A58853F2-1EEA-43F8-8C37-7103D6B8F959}"/>
    <cellStyle name="Comma 8 2 2" xfId="3344" xr:uid="{E342173F-0145-475D-9922-D3239BCD51A1}"/>
    <cellStyle name="Comma 8 3" xfId="2314" xr:uid="{8F9ACDE6-E127-4029-B7BA-36806ABBD151}"/>
    <cellStyle name="Comma 8 4" xfId="4440" xr:uid="{11726030-3E7E-4C34-9E96-FC2655B74EEB}"/>
    <cellStyle name="Comma 80" xfId="293" xr:uid="{97D51FCB-FC17-4867-AA51-EB4A6552BF5B}"/>
    <cellStyle name="Comma 80 2" xfId="1358" xr:uid="{574D48DE-2484-4816-99D5-7BEB088AE5E1}"/>
    <cellStyle name="Comma 80 2 2" xfId="3416" xr:uid="{D5534950-DCD1-403C-A2A1-4EBE69D73290}"/>
    <cellStyle name="Comma 80 3" xfId="2386" xr:uid="{B8934338-CB3C-4FDC-9BC6-E93F84D22843}"/>
    <cellStyle name="Comma 80 4" xfId="4512" xr:uid="{9BB8CA93-E0EB-44ED-89BA-CB4BF0351129}"/>
    <cellStyle name="Comma 800" xfId="1040" xr:uid="{9ADD3BAC-8DBD-4FE5-9EE9-D6E87198CD86}"/>
    <cellStyle name="Comma 800 2" xfId="2078" xr:uid="{0060DE5C-352A-4D81-A688-9ACB97DC6BC6}"/>
    <cellStyle name="Comma 800 2 2" xfId="4136" xr:uid="{6F7E41B0-75CB-4874-864F-5E4FAAE6800E}"/>
    <cellStyle name="Comma 800 3" xfId="3106" xr:uid="{B7300EED-4880-456A-819A-58B1A1D85FF5}"/>
    <cellStyle name="Comma 800 4" xfId="5232" xr:uid="{1232C050-6BCF-446D-B47E-8B4A904ED8BE}"/>
    <cellStyle name="Comma 801" xfId="1041" xr:uid="{4574C181-FC2B-4EF0-A901-498675828137}"/>
    <cellStyle name="Comma 801 2" xfId="2079" xr:uid="{D80E01B2-EC20-4753-98EF-0B27759E49A6}"/>
    <cellStyle name="Comma 801 2 2" xfId="4137" xr:uid="{13FE16D0-EBA7-4021-80CB-20D2589103AE}"/>
    <cellStyle name="Comma 801 3" xfId="3107" xr:uid="{2E4E500E-76D3-4BDC-BF87-E03306B5E25E}"/>
    <cellStyle name="Comma 801 4" xfId="5233" xr:uid="{0AA86853-EBF4-4484-8747-0A1759A4DA60}"/>
    <cellStyle name="Comma 802" xfId="1042" xr:uid="{56BA4E00-3920-4D97-A235-BB22EF20BC40}"/>
    <cellStyle name="Comma 802 2" xfId="2080" xr:uid="{00D40D04-D7E1-4180-BF9C-68555E90D6DD}"/>
    <cellStyle name="Comma 802 2 2" xfId="4138" xr:uid="{3C51D982-5450-40D4-BCD8-726C5FB98FFD}"/>
    <cellStyle name="Comma 802 3" xfId="3108" xr:uid="{96658DF1-4D5F-4735-8FB1-8900C42B6CA8}"/>
    <cellStyle name="Comma 802 4" xfId="5234" xr:uid="{A23ECCEF-FB3A-49E7-BB56-1479D59A663A}"/>
    <cellStyle name="Comma 803" xfId="1043" xr:uid="{23559EAB-F89F-4D34-8284-E1AB2079CAEA}"/>
    <cellStyle name="Comma 803 2" xfId="2081" xr:uid="{B2CCD682-B6A2-4A33-8A23-233B910685E5}"/>
    <cellStyle name="Comma 803 2 2" xfId="4139" xr:uid="{A093A633-A41C-4AE1-A3DF-A0A18C86DB57}"/>
    <cellStyle name="Comma 803 3" xfId="3109" xr:uid="{ECCA72BB-A7DE-4768-87A5-49E1F4E6EA8E}"/>
    <cellStyle name="Comma 803 4" xfId="5235" xr:uid="{0301EBD3-E0E1-4CA6-A28B-6A607C759D05}"/>
    <cellStyle name="Comma 804" xfId="1044" xr:uid="{66DAF52F-AC38-4D4A-8B97-506FC54809E5}"/>
    <cellStyle name="Comma 804 2" xfId="2082" xr:uid="{0A7FA2B7-E419-4537-8A11-89ECCE288B1F}"/>
    <cellStyle name="Comma 804 2 2" xfId="4140" xr:uid="{331B7D30-5294-43A1-B9FB-043F2826C038}"/>
    <cellStyle name="Comma 804 3" xfId="3110" xr:uid="{3A13E5EC-4357-4B73-A611-4C909218C8AF}"/>
    <cellStyle name="Comma 804 4" xfId="5236" xr:uid="{40A3A1DC-7B3A-4E73-8FC7-12F1983BE56A}"/>
    <cellStyle name="Comma 805" xfId="1045" xr:uid="{AE1DC3FC-B7A9-4593-8913-5BC843B9EE91}"/>
    <cellStyle name="Comma 805 2" xfId="2083" xr:uid="{97A91718-A8D0-4A33-BD73-9B09F86B5299}"/>
    <cellStyle name="Comma 805 2 2" xfId="4141" xr:uid="{08EC53B6-D4EA-4635-B056-5C4508C3E569}"/>
    <cellStyle name="Comma 805 3" xfId="3111" xr:uid="{FF5AF45B-2FD6-4E5B-8116-2F1A91AF12EB}"/>
    <cellStyle name="Comma 805 4" xfId="5237" xr:uid="{456D9FA1-B397-4884-8DF6-3140FFC33C42}"/>
    <cellStyle name="Comma 806" xfId="1046" xr:uid="{6C22CD9E-B36F-46E1-A974-F63FD9551A84}"/>
    <cellStyle name="Comma 806 2" xfId="2084" xr:uid="{DB0F634F-B85F-4339-880D-BD4E2ED46166}"/>
    <cellStyle name="Comma 806 2 2" xfId="4142" xr:uid="{95D0F90C-82A7-42D2-B462-EC224AB46E9B}"/>
    <cellStyle name="Comma 806 3" xfId="3112" xr:uid="{7D377F3F-1DEF-44B7-8092-5B5863EF3970}"/>
    <cellStyle name="Comma 806 4" xfId="5238" xr:uid="{7C900558-4081-483A-A073-440A5B57ED8C}"/>
    <cellStyle name="Comma 807" xfId="1047" xr:uid="{4575972F-2161-4DC8-B2F8-B0F4DCCF110B}"/>
    <cellStyle name="Comma 807 2" xfId="2085" xr:uid="{262FF8F9-3FB2-4879-8859-AB1F2A131ED9}"/>
    <cellStyle name="Comma 807 2 2" xfId="4143" xr:uid="{6C5D2C5F-C58E-4B71-81B2-56E036097017}"/>
    <cellStyle name="Comma 807 3" xfId="3113" xr:uid="{062D0F9B-14C8-4350-B67D-FBA9BC2F5591}"/>
    <cellStyle name="Comma 807 4" xfId="5239" xr:uid="{ABBD8552-11FA-4F92-97FC-73F7C05F1F57}"/>
    <cellStyle name="Comma 808" xfId="1048" xr:uid="{B0C24B35-B6DC-47CD-8F28-E188B828C21F}"/>
    <cellStyle name="Comma 808 2" xfId="2086" xr:uid="{089A55C1-8BBA-49BE-9219-2814AFFCD9AC}"/>
    <cellStyle name="Comma 808 2 2" xfId="4144" xr:uid="{66825B7D-71B6-4034-841E-67590EDDD62A}"/>
    <cellStyle name="Comma 808 3" xfId="3114" xr:uid="{DC7F4BC6-B58E-4685-A03E-5FC1C4182A50}"/>
    <cellStyle name="Comma 808 4" xfId="5240" xr:uid="{A4BFE882-4752-4065-AC17-4043E70FF81C}"/>
    <cellStyle name="Comma 809" xfId="1049" xr:uid="{27ED6F5F-C767-4897-9C42-B10EE7E1E1A4}"/>
    <cellStyle name="Comma 809 2" xfId="2087" xr:uid="{6BB0A841-9E45-4F1D-8108-12565ABC37F6}"/>
    <cellStyle name="Comma 809 2 2" xfId="4145" xr:uid="{6E79A3F5-18E5-44DD-AD47-97177031C039}"/>
    <cellStyle name="Comma 809 3" xfId="3115" xr:uid="{9CCC5014-AD40-4492-8543-3B77B24B9962}"/>
    <cellStyle name="Comma 809 4" xfId="5241" xr:uid="{C8E7A63B-503F-4EB3-851D-9F37AACAB968}"/>
    <cellStyle name="Comma 81" xfId="294" xr:uid="{37708F2E-E937-436D-9AFA-6D0B92EAF4B2}"/>
    <cellStyle name="Comma 81 2" xfId="1359" xr:uid="{C381AA6B-81D8-4723-9260-C58CC5295E8C}"/>
    <cellStyle name="Comma 81 2 2" xfId="3417" xr:uid="{DF785619-76AB-4360-A8C0-EAF367B9E17B}"/>
    <cellStyle name="Comma 81 3" xfId="2387" xr:uid="{1F277AAB-F2A8-4C12-B15E-543E50276193}"/>
    <cellStyle name="Comma 81 4" xfId="4513" xr:uid="{4EA37830-F62E-4BBD-9C29-DABF2A45BA49}"/>
    <cellStyle name="Comma 810" xfId="1050" xr:uid="{14F380B4-AD16-4FB3-B4E4-9178FF053082}"/>
    <cellStyle name="Comma 810 2" xfId="2088" xr:uid="{B779B991-2CAF-4DF0-80E4-08B05154ADB8}"/>
    <cellStyle name="Comma 810 2 2" xfId="4146" xr:uid="{508E5259-CDF3-4777-977A-06734CBB4545}"/>
    <cellStyle name="Comma 810 3" xfId="3116" xr:uid="{0664581E-56FE-40A0-BF3C-A62424D3505E}"/>
    <cellStyle name="Comma 810 4" xfId="5242" xr:uid="{5151B7FA-8013-46DB-A8D9-4D196F2BB326}"/>
    <cellStyle name="Comma 811" xfId="1051" xr:uid="{71C735C6-47A2-4E41-A880-4708CAA558FE}"/>
    <cellStyle name="Comma 811 2" xfId="2089" xr:uid="{126B5E00-2E5D-4D4A-9F4E-47BD8B67B773}"/>
    <cellStyle name="Comma 811 2 2" xfId="4147" xr:uid="{268B0A2F-0654-4DB0-B2E2-8B8FD3D4E6A1}"/>
    <cellStyle name="Comma 811 3" xfId="3117" xr:uid="{856B8182-8107-4B39-942E-CE4C66329A35}"/>
    <cellStyle name="Comma 811 4" xfId="5243" xr:uid="{2B717F1E-956E-411E-A1D0-4544B98A3FB5}"/>
    <cellStyle name="Comma 812" xfId="1052" xr:uid="{6BFE55F3-2A55-4E19-88B4-C11A90433CE6}"/>
    <cellStyle name="Comma 812 2" xfId="2090" xr:uid="{8176A611-E5F5-496F-B8A6-001B37B26B41}"/>
    <cellStyle name="Comma 812 2 2" xfId="4148" xr:uid="{5F5B4EFF-8016-446F-92CC-137A7D28513D}"/>
    <cellStyle name="Comma 812 3" xfId="3118" xr:uid="{504E1EB2-01F9-4511-8203-D3525C32AF23}"/>
    <cellStyle name="Comma 812 4" xfId="5244" xr:uid="{74DE26C3-CDF6-4781-881F-E8AD80BF021F}"/>
    <cellStyle name="Comma 813" xfId="1053" xr:uid="{4CD781A1-499F-46EB-B2B1-8A09070155C9}"/>
    <cellStyle name="Comma 813 2" xfId="2091" xr:uid="{0ACBD2B9-5E45-4575-B590-24385B2B0424}"/>
    <cellStyle name="Comma 813 2 2" xfId="4149" xr:uid="{A826CF43-0F01-4337-81F6-FEE72F1F084F}"/>
    <cellStyle name="Comma 813 3" xfId="3119" xr:uid="{FE3D7C42-099E-4EDA-8FDA-E553A26C9DED}"/>
    <cellStyle name="Comma 813 4" xfId="5245" xr:uid="{4C269993-B7C0-4AC8-91B8-E3323EE984A5}"/>
    <cellStyle name="Comma 814" xfId="1054" xr:uid="{C9E8C5C2-943C-47AF-8C37-116B1313B660}"/>
    <cellStyle name="Comma 814 2" xfId="2092" xr:uid="{75FAF034-3413-44C5-B31A-FACB26345246}"/>
    <cellStyle name="Comma 814 2 2" xfId="4150" xr:uid="{1F0E31C1-2319-4AEC-9B3A-416310713982}"/>
    <cellStyle name="Comma 814 3" xfId="3120" xr:uid="{61607C36-D807-484B-A51A-5CF745A73420}"/>
    <cellStyle name="Comma 814 4" xfId="5246" xr:uid="{28C082BD-F7FD-45B0-9E81-79A574E13233}"/>
    <cellStyle name="Comma 815" xfId="1055" xr:uid="{E766ED0C-0C26-43D2-90EC-6004D4A5643C}"/>
    <cellStyle name="Comma 815 2" xfId="2093" xr:uid="{EABC3BDB-C8D6-4E28-9B47-B772073DF21F}"/>
    <cellStyle name="Comma 815 2 2" xfId="4151" xr:uid="{7C9545BB-45DE-4575-885E-B906A8ECA42F}"/>
    <cellStyle name="Comma 815 3" xfId="3121" xr:uid="{D2188B3C-16B0-4559-9739-743394CD8D15}"/>
    <cellStyle name="Comma 815 4" xfId="5247" xr:uid="{D36F8D71-17CC-4036-8472-B4123EB3B6CA}"/>
    <cellStyle name="Comma 816" xfId="1056" xr:uid="{BFCC9EFD-6EF6-4295-B3E8-802968F9A469}"/>
    <cellStyle name="Comma 816 2" xfId="2094" xr:uid="{D135DA06-DBEE-40F6-BB30-5D5571A33C35}"/>
    <cellStyle name="Comma 816 2 2" xfId="4152" xr:uid="{05059CF4-6BE9-4126-B4BA-C0E148F7D6C9}"/>
    <cellStyle name="Comma 816 3" xfId="3122" xr:uid="{7EA6D62C-B744-4B92-B238-0EAB66E8E277}"/>
    <cellStyle name="Comma 816 4" xfId="5248" xr:uid="{77CCDE26-9622-4AC4-BDB7-294362532C9C}"/>
    <cellStyle name="Comma 817" xfId="1057" xr:uid="{5428D0BB-625E-4E3F-946A-9D1E1B0D3A3E}"/>
    <cellStyle name="Comma 817 2" xfId="2095" xr:uid="{C366F4E8-19EB-4CEF-ABA6-C14386E307AB}"/>
    <cellStyle name="Comma 817 2 2" xfId="4153" xr:uid="{D218BE4F-5E63-47B6-82B1-D10B7AA0842C}"/>
    <cellStyle name="Comma 817 3" xfId="3123" xr:uid="{A08D0222-B0AA-4E24-B7B6-F5CE76633B30}"/>
    <cellStyle name="Comma 817 4" xfId="5249" xr:uid="{70767BCC-BC78-4EB6-8F75-3915D7851D46}"/>
    <cellStyle name="Comma 818" xfId="1058" xr:uid="{31D7EE79-D057-4627-A2B4-3BE1C279BA0F}"/>
    <cellStyle name="Comma 818 2" xfId="2096" xr:uid="{91AFDF2B-E213-42B6-82F0-FE3BCB9A1234}"/>
    <cellStyle name="Comma 818 2 2" xfId="4154" xr:uid="{FD0451BA-89C6-4A49-A17A-F9B3054936D9}"/>
    <cellStyle name="Comma 818 3" xfId="3124" xr:uid="{90114DDE-285A-4491-9BA8-DF7CF2CE4B57}"/>
    <cellStyle name="Comma 818 4" xfId="5250" xr:uid="{5DBB2057-EF10-4556-A306-78DC95F5964C}"/>
    <cellStyle name="Comma 819" xfId="1059" xr:uid="{419B9300-E162-40A2-B2C1-E87AF4F677E0}"/>
    <cellStyle name="Comma 819 2" xfId="2097" xr:uid="{BA2A804B-0C26-42CE-84B4-5F554C444BD4}"/>
    <cellStyle name="Comma 819 2 2" xfId="4155" xr:uid="{402AA7DE-9AC9-44A8-A1ED-89B626496CF8}"/>
    <cellStyle name="Comma 819 3" xfId="3125" xr:uid="{2F749518-769B-428A-BF00-8E753C567834}"/>
    <cellStyle name="Comma 819 4" xfId="5251" xr:uid="{EFF71DDD-A6A9-4488-8DB3-92D6A7871778}"/>
    <cellStyle name="Comma 82" xfId="295" xr:uid="{F4C59E57-A74D-46FB-BCEA-A30DFF280E99}"/>
    <cellStyle name="Comma 82 2" xfId="1360" xr:uid="{BFAEBEDD-E1F5-4FB2-94E9-C098817E9B1B}"/>
    <cellStyle name="Comma 82 2 2" xfId="3418" xr:uid="{8FAFB9DA-D31C-406B-9B7C-CAF83AEEC4A6}"/>
    <cellStyle name="Comma 82 3" xfId="2388" xr:uid="{9AB8E0A6-A4AC-45F0-90C4-06CC9A4677BF}"/>
    <cellStyle name="Comma 82 4" xfId="4514" xr:uid="{E3C43FCD-2B6F-49B7-B232-F153D2BED6ED}"/>
    <cellStyle name="Comma 820" xfId="1060" xr:uid="{EB3F1B21-F092-4725-AD67-F12A2B166B08}"/>
    <cellStyle name="Comma 820 2" xfId="2098" xr:uid="{CBE1282F-AB29-4952-932C-063B5857B04B}"/>
    <cellStyle name="Comma 820 2 2" xfId="4156" xr:uid="{DC457309-D231-4AAF-93FD-6C714C230A0F}"/>
    <cellStyle name="Comma 820 3" xfId="3126" xr:uid="{97C1E444-C06E-4A8F-8AFC-6EF8A13A4B2D}"/>
    <cellStyle name="Comma 820 4" xfId="5252" xr:uid="{3EE3FE59-D0CA-4707-85BB-2E2A9CBAB584}"/>
    <cellStyle name="Comma 821" xfId="1061" xr:uid="{97ABBE3B-730B-4FFE-BF70-5DC869F7CDAA}"/>
    <cellStyle name="Comma 821 2" xfId="2099" xr:uid="{0C22853F-A455-43CF-8696-DBF3645A75FC}"/>
    <cellStyle name="Comma 821 2 2" xfId="4157" xr:uid="{06F8577C-54FC-4353-9F7D-ED086605FCB3}"/>
    <cellStyle name="Comma 821 3" xfId="3127" xr:uid="{5B4B537F-C755-4CF8-9F3C-3FA8C48C4A36}"/>
    <cellStyle name="Comma 821 4" xfId="5253" xr:uid="{BF76A280-B223-48AC-91A3-9F6051C370D2}"/>
    <cellStyle name="Comma 822" xfId="1062" xr:uid="{20D9876B-3677-4592-B53C-5AB4DE56474A}"/>
    <cellStyle name="Comma 822 2" xfId="2100" xr:uid="{E8B143F3-54CF-4F48-B1CE-A775A32CF590}"/>
    <cellStyle name="Comma 822 2 2" xfId="4158" xr:uid="{B19D09F9-1961-43B6-AD41-C1AA0C360B51}"/>
    <cellStyle name="Comma 822 3" xfId="3128" xr:uid="{0FA30A06-DF94-4315-B954-536DF344AD57}"/>
    <cellStyle name="Comma 822 4" xfId="5254" xr:uid="{EC047169-24A2-4B21-B2E0-7A1E76E10962}"/>
    <cellStyle name="Comma 823" xfId="1063" xr:uid="{E62C9301-018D-4A9A-8CA3-751FA25A0E69}"/>
    <cellStyle name="Comma 823 2" xfId="2101" xr:uid="{32DE0C8D-062B-48CA-88BD-BE58CE4F660F}"/>
    <cellStyle name="Comma 823 2 2" xfId="4159" xr:uid="{B9EB69B6-1D3E-438D-A143-1B2F7679A277}"/>
    <cellStyle name="Comma 823 3" xfId="3129" xr:uid="{C4CA63E5-FB7D-42F8-AB66-0052BB3E4AA6}"/>
    <cellStyle name="Comma 823 4" xfId="5255" xr:uid="{A69342F1-77E8-4B00-8C33-14F31B6046A7}"/>
    <cellStyle name="Comma 824" xfId="1064" xr:uid="{907C2836-5A6D-4269-8179-8C7BAE988C56}"/>
    <cellStyle name="Comma 824 2" xfId="2102" xr:uid="{80A4157A-5376-4791-945F-D33B5ECD1F86}"/>
    <cellStyle name="Comma 824 2 2" xfId="4160" xr:uid="{820222F5-5AF1-4018-9946-8E6B3609F68C}"/>
    <cellStyle name="Comma 824 3" xfId="3130" xr:uid="{1364E6E6-3AD7-4140-9A61-216327FF6C0D}"/>
    <cellStyle name="Comma 824 4" xfId="5256" xr:uid="{188D7D49-0F50-4D9E-ABCC-72E5541991A1}"/>
    <cellStyle name="Comma 825" xfId="1065" xr:uid="{540D3E1F-2DFF-4161-9ECD-0482D949F30C}"/>
    <cellStyle name="Comma 825 2" xfId="2103" xr:uid="{C2726A50-06B1-47A6-8A8D-CAD3C8124472}"/>
    <cellStyle name="Comma 825 2 2" xfId="4161" xr:uid="{30181A6B-A1F9-4C46-9290-9078DADE0628}"/>
    <cellStyle name="Comma 825 3" xfId="3131" xr:uid="{13314471-B350-48E5-9947-05CCE4CBE6B8}"/>
    <cellStyle name="Comma 825 4" xfId="5257" xr:uid="{E08E9FF6-2600-45C8-9135-2EF6B2A33D66}"/>
    <cellStyle name="Comma 826" xfId="1066" xr:uid="{CF6993B2-B525-441D-B3CE-1EB5F96F6A0A}"/>
    <cellStyle name="Comma 826 2" xfId="2104" xr:uid="{F7787E93-5E03-406E-9E2D-8BA630AD00E5}"/>
    <cellStyle name="Comma 826 2 2" xfId="4162" xr:uid="{4E5AA89D-6F2C-461E-A690-079F37A5FAD5}"/>
    <cellStyle name="Comma 826 3" xfId="3132" xr:uid="{BD8DC815-BAC3-44BE-9454-4E686E60D918}"/>
    <cellStyle name="Comma 826 4" xfId="5258" xr:uid="{BF04AA42-C9A5-4B1B-A62F-742B00CA2F66}"/>
    <cellStyle name="Comma 827" xfId="1067" xr:uid="{FEBB5FF4-3C00-4C7E-888B-C63FD56EB99F}"/>
    <cellStyle name="Comma 827 2" xfId="2105" xr:uid="{644D886A-D781-431F-8896-05043BB5C0A4}"/>
    <cellStyle name="Comma 827 2 2" xfId="4163" xr:uid="{ADB1CE2C-9679-466B-822C-6C41B679E2D5}"/>
    <cellStyle name="Comma 827 3" xfId="3133" xr:uid="{BCF8A643-8D6A-40F6-BD6D-50B040F79A1A}"/>
    <cellStyle name="Comma 827 4" xfId="5259" xr:uid="{9134FABF-8ED5-4DDF-86E8-8C7B3669553C}"/>
    <cellStyle name="Comma 828" xfId="1068" xr:uid="{88CF6DA5-C007-4142-B6A3-2361837235B4}"/>
    <cellStyle name="Comma 828 2" xfId="2106" xr:uid="{D2E4D831-ECFE-4A92-AD7B-C51BE1A81B51}"/>
    <cellStyle name="Comma 828 2 2" xfId="4164" xr:uid="{4D849EE9-CAC7-463B-86DC-882797106E73}"/>
    <cellStyle name="Comma 828 3" xfId="3134" xr:uid="{3CB4191D-C6A4-495F-9DB0-2F8943AB9404}"/>
    <cellStyle name="Comma 828 4" xfId="5260" xr:uid="{53697C4D-E42A-45A5-8F67-906AE1CFAC30}"/>
    <cellStyle name="Comma 829" xfId="1069" xr:uid="{E905AF52-CEA7-4069-98AA-C90804470A07}"/>
    <cellStyle name="Comma 829 2" xfId="2107" xr:uid="{A67EBF62-7647-45E4-A319-DA87E2D6A6AA}"/>
    <cellStyle name="Comma 829 2 2" xfId="4165" xr:uid="{6153E9A8-2FCD-432B-BC55-59C3880855FA}"/>
    <cellStyle name="Comma 829 3" xfId="3135" xr:uid="{0248195A-57F9-4F11-AA88-BE61B2DC15D0}"/>
    <cellStyle name="Comma 829 4" xfId="5261" xr:uid="{3F248A83-E10F-475B-BDD0-C70A27B95E03}"/>
    <cellStyle name="Comma 83" xfId="296" xr:uid="{39629F91-5246-412B-B383-D3DF6F987DF2}"/>
    <cellStyle name="Comma 83 2" xfId="1361" xr:uid="{8FD9C544-9654-4D73-8443-1094A26C9946}"/>
    <cellStyle name="Comma 83 2 2" xfId="3419" xr:uid="{AE90CE25-BC25-4B66-B024-D61FFBDD6AD9}"/>
    <cellStyle name="Comma 83 3" xfId="2389" xr:uid="{620AC12B-1475-48D8-B5EC-F910C08A90CE}"/>
    <cellStyle name="Comma 83 4" xfId="4515" xr:uid="{4949529C-06CB-43BB-8461-CC68F69023B9}"/>
    <cellStyle name="Comma 830" xfId="1070" xr:uid="{19DE3F97-BED2-4AB3-9047-15BC8AFF8B84}"/>
    <cellStyle name="Comma 830 2" xfId="2108" xr:uid="{09FAEA16-E25E-4A0E-A041-0809C175B4EC}"/>
    <cellStyle name="Comma 830 2 2" xfId="4166" xr:uid="{46098499-6114-4005-A13F-BBACFB0F7585}"/>
    <cellStyle name="Comma 830 3" xfId="3136" xr:uid="{10704ECD-DA5D-4897-BBB4-E5DDE7249EB7}"/>
    <cellStyle name="Comma 830 4" xfId="5262" xr:uid="{D585E2CA-3475-4AED-841D-4817618A0FE2}"/>
    <cellStyle name="Comma 831" xfId="1071" xr:uid="{04EF9EBA-83AD-43DC-BEE3-B866931BBCB6}"/>
    <cellStyle name="Comma 831 2" xfId="2109" xr:uid="{71824F94-9A03-42B9-BFA7-3A3C2CBEFCEB}"/>
    <cellStyle name="Comma 831 2 2" xfId="4167" xr:uid="{52CA26D2-8CE0-4177-BBF7-9610C86B6A5A}"/>
    <cellStyle name="Comma 831 3" xfId="3137" xr:uid="{A39579FF-B4BD-4E0E-BDB0-14D59FDBE73F}"/>
    <cellStyle name="Comma 831 4" xfId="5263" xr:uid="{EB228899-8C81-4149-AF87-3E833F5EE4D4}"/>
    <cellStyle name="Comma 832" xfId="1072" xr:uid="{CE9C30BA-E5AA-4B82-9EFE-FD8D4D31366F}"/>
    <cellStyle name="Comma 832 2" xfId="2110" xr:uid="{C8145140-E0D8-4D8A-AECF-56F6559B284B}"/>
    <cellStyle name="Comma 832 2 2" xfId="4168" xr:uid="{446A2E6B-2303-4288-A5A9-7D8CE924497D}"/>
    <cellStyle name="Comma 832 3" xfId="3138" xr:uid="{942CF8F8-D6C9-4A22-B8AD-5621CDBC5916}"/>
    <cellStyle name="Comma 832 4" xfId="5264" xr:uid="{5E934839-95F0-4996-A39E-763A7274D02F}"/>
    <cellStyle name="Comma 833" xfId="1073" xr:uid="{12A96A7F-3A07-46E1-AD3A-43CEE0E83C10}"/>
    <cellStyle name="Comma 833 2" xfId="2111" xr:uid="{998CA8FD-B99B-4D31-B1C4-AF217D04AFC3}"/>
    <cellStyle name="Comma 833 2 2" xfId="4169" xr:uid="{F2DFFBD3-06A6-4F52-8E21-F358901E2725}"/>
    <cellStyle name="Comma 833 3" xfId="3139" xr:uid="{D78E5127-9378-47BE-8F51-2CCEDE274D46}"/>
    <cellStyle name="Comma 833 4" xfId="5265" xr:uid="{B8600CE1-1931-4AE9-B6BC-3C2EA6CEABE0}"/>
    <cellStyle name="Comma 834" xfId="1074" xr:uid="{D90889E6-DB49-4041-A848-13C51BD294EA}"/>
    <cellStyle name="Comma 834 2" xfId="2112" xr:uid="{E1F87DC5-996A-4BAD-A9D6-E9F049EC413B}"/>
    <cellStyle name="Comma 834 2 2" xfId="4170" xr:uid="{5EDCE5BE-D2E4-4810-B907-410BF5F0392C}"/>
    <cellStyle name="Comma 834 3" xfId="3140" xr:uid="{E6F3672C-CB8E-4AE3-BF7A-B0187862017D}"/>
    <cellStyle name="Comma 834 4" xfId="5266" xr:uid="{B66BD2C8-2968-464D-A25A-841B2535000C}"/>
    <cellStyle name="Comma 835" xfId="1075" xr:uid="{5815FA27-36D0-484A-869D-60306690CB86}"/>
    <cellStyle name="Comma 835 2" xfId="2113" xr:uid="{5C05AFCA-F738-43C3-B0A8-100D33E60318}"/>
    <cellStyle name="Comma 835 2 2" xfId="4171" xr:uid="{01863099-F556-464A-961E-6C235C5483E1}"/>
    <cellStyle name="Comma 835 3" xfId="3141" xr:uid="{736E9B22-A46D-489E-9814-5233C715A267}"/>
    <cellStyle name="Comma 835 4" xfId="5267" xr:uid="{F24F5AED-D9A4-4C6F-90BA-A2712FEAD9BE}"/>
    <cellStyle name="Comma 836" xfId="1076" xr:uid="{4C95F3E4-F042-4B75-B9C4-E90011C6FCE3}"/>
    <cellStyle name="Comma 836 2" xfId="2114" xr:uid="{8C4E34C9-ADBA-4D4A-ACDB-9AC0D9B30455}"/>
    <cellStyle name="Comma 836 2 2" xfId="4172" xr:uid="{8C14F122-05AC-4D56-AE32-8C51559564BE}"/>
    <cellStyle name="Comma 836 3" xfId="3142" xr:uid="{69621652-EC2E-4DDD-8453-526F8254DDD8}"/>
    <cellStyle name="Comma 836 4" xfId="5268" xr:uid="{9B6DF371-8D71-4119-8A8D-C1B841E922DA}"/>
    <cellStyle name="Comma 837" xfId="1077" xr:uid="{15164E8E-112F-45A4-9F7D-6E592F8BC04E}"/>
    <cellStyle name="Comma 837 2" xfId="2115" xr:uid="{3A611BEA-B192-49E1-97F2-C4AA144B7019}"/>
    <cellStyle name="Comma 837 2 2" xfId="4173" xr:uid="{27D1A1AC-F254-499F-94E9-A1FD6D18C522}"/>
    <cellStyle name="Comma 837 3" xfId="3143" xr:uid="{C63E2F2F-F8F2-4097-BA21-349F65D292BA}"/>
    <cellStyle name="Comma 837 4" xfId="5269" xr:uid="{BA849861-E907-4832-B7BA-DB291FE7A256}"/>
    <cellStyle name="Comma 838" xfId="1078" xr:uid="{CB867EB8-5DF5-47D1-BF82-D17BDA4DC583}"/>
    <cellStyle name="Comma 838 2" xfId="2116" xr:uid="{CE87DA06-90D8-41BF-A76B-29A0D47ABC02}"/>
    <cellStyle name="Comma 838 2 2" xfId="4174" xr:uid="{9BBF9314-B4A2-4EAC-B6CA-BF42E951BA17}"/>
    <cellStyle name="Comma 838 3" xfId="3144" xr:uid="{36F7E94C-1047-4BB2-99C3-2A1AA27A41FA}"/>
    <cellStyle name="Comma 838 4" xfId="5270" xr:uid="{44AB980A-2D5C-4E1E-A86C-47A8CCB542FE}"/>
    <cellStyle name="Comma 839" xfId="1079" xr:uid="{ACCC7286-5647-4139-A561-6D602B9C663A}"/>
    <cellStyle name="Comma 839 2" xfId="2117" xr:uid="{7BA636A6-FDE1-4ED6-B32B-427607C3B508}"/>
    <cellStyle name="Comma 839 2 2" xfId="4175" xr:uid="{3CBFB131-00B5-4776-9A7F-3648D5403983}"/>
    <cellStyle name="Comma 839 3" xfId="3145" xr:uid="{532F8A74-BD97-4825-8F12-6C1E764B3861}"/>
    <cellStyle name="Comma 839 4" xfId="5271" xr:uid="{3106FF66-9DFC-4980-9850-FFD175EC875C}"/>
    <cellStyle name="Comma 84" xfId="297" xr:uid="{C27D2E24-5278-4306-8EDB-3500271F88FD}"/>
    <cellStyle name="Comma 84 2" xfId="1362" xr:uid="{FA953DAF-9FEA-4789-89DA-1D384180B439}"/>
    <cellStyle name="Comma 84 2 2" xfId="3420" xr:uid="{F23F740B-F1D6-42B7-8E2A-1735C6CE3E69}"/>
    <cellStyle name="Comma 84 3" xfId="2390" xr:uid="{8F711E0C-6255-4030-90DF-8BEA677F6253}"/>
    <cellStyle name="Comma 84 4" xfId="4516" xr:uid="{946B99E2-089E-479C-B69A-4459181621A7}"/>
    <cellStyle name="Comma 840" xfId="1080" xr:uid="{74C5DF27-ADBA-4482-B39A-79230DA3B430}"/>
    <cellStyle name="Comma 840 2" xfId="2118" xr:uid="{0F58E634-59E0-4E64-8359-F21BDD01C401}"/>
    <cellStyle name="Comma 840 2 2" xfId="4176" xr:uid="{531F0615-E33E-4751-A7DF-97A116286DCB}"/>
    <cellStyle name="Comma 840 3" xfId="3146" xr:uid="{D4911CAA-F074-4E52-9909-B6FD15F9ACB2}"/>
    <cellStyle name="Comma 840 4" xfId="5272" xr:uid="{EC26A740-1FFA-4C78-83A5-F954B7349A89}"/>
    <cellStyle name="Comma 841" xfId="1081" xr:uid="{C9999700-0ABE-44A0-B700-4D71C79F10AF}"/>
    <cellStyle name="Comma 841 2" xfId="2119" xr:uid="{4CD21FB1-8D6E-4E51-B3CD-50185861F546}"/>
    <cellStyle name="Comma 841 2 2" xfId="4177" xr:uid="{D8946A41-D89F-4FF0-B56B-942498595193}"/>
    <cellStyle name="Comma 841 3" xfId="3147" xr:uid="{2C1BD0FB-D637-43F7-9176-8428286A4F3C}"/>
    <cellStyle name="Comma 841 4" xfId="5273" xr:uid="{75F7ECA3-D824-43B5-B185-AB0AB34F2B39}"/>
    <cellStyle name="Comma 842" xfId="1082" xr:uid="{E0BB9836-9045-4328-9CB3-E0C5E414E8BC}"/>
    <cellStyle name="Comma 842 2" xfId="2120" xr:uid="{35896DAB-FEF1-4918-AB42-9504B79654CB}"/>
    <cellStyle name="Comma 842 2 2" xfId="4178" xr:uid="{FDD59540-6E73-4E45-827F-3A1B9D43CB3F}"/>
    <cellStyle name="Comma 842 3" xfId="3148" xr:uid="{C8A64825-0624-424D-95A6-4BD86C91E73B}"/>
    <cellStyle name="Comma 842 4" xfId="5274" xr:uid="{AA57FBEF-358D-4EA3-B7B7-210F32474970}"/>
    <cellStyle name="Comma 843" xfId="1083" xr:uid="{12AB5A7E-653D-49D7-B2DF-F6CB766E7B53}"/>
    <cellStyle name="Comma 843 2" xfId="2121" xr:uid="{F3A7531E-34D5-4C3C-8790-C2C25FB1994F}"/>
    <cellStyle name="Comma 843 2 2" xfId="4179" xr:uid="{3E5F9D46-A312-4547-9381-A491FECE021A}"/>
    <cellStyle name="Comma 843 3" xfId="3149" xr:uid="{2D330D70-823C-480F-B2E2-57B819880621}"/>
    <cellStyle name="Comma 843 4" xfId="5275" xr:uid="{CF629D65-21E8-4C2D-AD1B-9F2F4B895AFA}"/>
    <cellStyle name="Comma 844" xfId="1084" xr:uid="{1766B157-515C-4011-B31B-69541F91761D}"/>
    <cellStyle name="Comma 844 2" xfId="2122" xr:uid="{091CF861-88CB-4B5D-AF92-D3793FDF01C6}"/>
    <cellStyle name="Comma 844 2 2" xfId="4180" xr:uid="{51145E17-04ED-442D-B3E9-7E31BDECA13C}"/>
    <cellStyle name="Comma 844 3" xfId="3150" xr:uid="{CEB7D2FF-5195-4BD7-AF53-4528D940E713}"/>
    <cellStyle name="Comma 844 4" xfId="5276" xr:uid="{D13F2C06-5856-401E-AA20-C1B26079A30E}"/>
    <cellStyle name="Comma 845" xfId="1085" xr:uid="{D13DDA96-9EC0-49C1-A41A-CB5376C8B955}"/>
    <cellStyle name="Comma 845 2" xfId="2123" xr:uid="{19BEE44F-3F26-41A8-AF38-21EB0A603174}"/>
    <cellStyle name="Comma 845 2 2" xfId="4181" xr:uid="{76A0495F-7CCD-4409-AC06-EFEB0E7B404D}"/>
    <cellStyle name="Comma 845 3" xfId="3151" xr:uid="{ABD811F9-E6A0-490F-9630-014ED266AE5D}"/>
    <cellStyle name="Comma 845 4" xfId="5277" xr:uid="{D63946A9-9C31-4C11-8D78-C34C50F95A7B}"/>
    <cellStyle name="Comma 846" xfId="1086" xr:uid="{FBE41161-DB1E-4680-A463-00E1438441B4}"/>
    <cellStyle name="Comma 846 2" xfId="2124" xr:uid="{68A717E0-251B-4010-BB8B-BC23E3B81719}"/>
    <cellStyle name="Comma 846 2 2" xfId="4182" xr:uid="{A43C5D05-BB51-4398-84B9-F7FC444215ED}"/>
    <cellStyle name="Comma 846 3" xfId="3152" xr:uid="{0C438592-C035-472B-8F9C-8952F05A0002}"/>
    <cellStyle name="Comma 846 4" xfId="5278" xr:uid="{953F88AD-182B-42A6-8DAD-DBED513D11E6}"/>
    <cellStyle name="Comma 847" xfId="1087" xr:uid="{560689B3-A36D-4A2B-ABA8-59EBEFEDDAB1}"/>
    <cellStyle name="Comma 847 2" xfId="2125" xr:uid="{B271EC23-045C-4085-8422-CCAC7DD8E3E6}"/>
    <cellStyle name="Comma 847 2 2" xfId="4183" xr:uid="{D34E582F-A8C8-4A52-8202-493D08F329C2}"/>
    <cellStyle name="Comma 847 3" xfId="3153" xr:uid="{127F9E13-7889-4BAC-880C-40F81EC92F4A}"/>
    <cellStyle name="Comma 847 4" xfId="5279" xr:uid="{3694948F-18C9-4206-ACBE-3BE1188AE58B}"/>
    <cellStyle name="Comma 848" xfId="1088" xr:uid="{5810F7BB-0E82-42BA-B629-E955DD3B6919}"/>
    <cellStyle name="Comma 848 2" xfId="2126" xr:uid="{4A16B2AE-061E-4AA5-9F96-6CC5A84762AE}"/>
    <cellStyle name="Comma 848 2 2" xfId="4184" xr:uid="{EB5BB26A-057E-4A7E-9B4A-833563FAFD38}"/>
    <cellStyle name="Comma 848 3" xfId="3154" xr:uid="{F7545639-7A0F-4225-8F2C-E6CA0F632AA9}"/>
    <cellStyle name="Comma 848 4" xfId="5280" xr:uid="{C219F640-0BBF-4089-B4E4-AAEE6FBCE1D1}"/>
    <cellStyle name="Comma 849" xfId="1089" xr:uid="{B6CE3074-AA05-43CB-868D-F80EC4350D47}"/>
    <cellStyle name="Comma 849 2" xfId="2127" xr:uid="{F0C9C6B3-53C8-4D67-8EFD-8E4A797E4548}"/>
    <cellStyle name="Comma 849 2 2" xfId="4185" xr:uid="{2922E57F-B4F8-49C6-98B5-506750A0F8BD}"/>
    <cellStyle name="Comma 849 3" xfId="3155" xr:uid="{8F415C54-BB4D-4CA7-AB37-F7BDC1D42B28}"/>
    <cellStyle name="Comma 849 4" xfId="5281" xr:uid="{49214240-3117-470E-B441-2AED7AABB176}"/>
    <cellStyle name="Comma 85" xfId="298" xr:uid="{FE803DC0-1878-41CD-AE12-BF47A5F050CB}"/>
    <cellStyle name="Comma 85 2" xfId="1363" xr:uid="{F013F505-67F9-469C-91CC-6008C01BF139}"/>
    <cellStyle name="Comma 85 2 2" xfId="3421" xr:uid="{737C7C9E-9F0C-46E3-9A34-F75CD5C882AE}"/>
    <cellStyle name="Comma 85 3" xfId="2391" xr:uid="{3B3C6B22-A43B-46DC-9BFC-AC4AC13E84D1}"/>
    <cellStyle name="Comma 85 4" xfId="4517" xr:uid="{76F8CDF7-1894-49C2-9E6A-ADC7951F46FB}"/>
    <cellStyle name="Comma 850" xfId="1090" xr:uid="{03200743-E388-4AC8-A1B8-0B87D75E9E1F}"/>
    <cellStyle name="Comma 850 2" xfId="2128" xr:uid="{FC86144C-B69B-462A-B19F-4D64A8BD2844}"/>
    <cellStyle name="Comma 850 2 2" xfId="4186" xr:uid="{21824E8C-8E55-4D7B-BDDE-4BAA8EB39C83}"/>
    <cellStyle name="Comma 850 3" xfId="3156" xr:uid="{8C042D8D-2DEC-42A1-A68C-182EBDAB27A3}"/>
    <cellStyle name="Comma 850 4" xfId="5282" xr:uid="{77AA86AF-39EF-4737-AB52-6A9E46A41E6F}"/>
    <cellStyle name="Comma 851" xfId="1091" xr:uid="{7BAB7F33-F286-42D8-BCC1-CAE129079002}"/>
    <cellStyle name="Comma 851 2" xfId="2129" xr:uid="{DEBE81BE-5C54-4C26-B5EC-C8B107929A0E}"/>
    <cellStyle name="Comma 851 2 2" xfId="4187" xr:uid="{8519DF2A-DDFC-49BF-8823-15C5C205D369}"/>
    <cellStyle name="Comma 851 3" xfId="3157" xr:uid="{7EC0CB58-E407-4C71-8999-FC8C67DCCFF4}"/>
    <cellStyle name="Comma 851 4" xfId="5283" xr:uid="{8DE0EC55-201B-4097-ADE1-32FDEEBFFB1B}"/>
    <cellStyle name="Comma 852" xfId="1092" xr:uid="{C5289178-59F0-4A30-936F-9A048915DFF9}"/>
    <cellStyle name="Comma 852 2" xfId="2130" xr:uid="{4AFE2349-B760-4880-96CA-86CE01F7BD3C}"/>
    <cellStyle name="Comma 852 2 2" xfId="4188" xr:uid="{C4B3D7A1-ED80-4A47-A596-4C24BF902B89}"/>
    <cellStyle name="Comma 852 3" xfId="3158" xr:uid="{A8DEB88F-E2F5-4BC3-B314-394D120BD1EE}"/>
    <cellStyle name="Comma 852 4" xfId="5284" xr:uid="{27262EA8-2984-42D6-B3E4-F4C02590DB3C}"/>
    <cellStyle name="Comma 853" xfId="1093" xr:uid="{96E52875-2096-4906-AE80-CF942F7BD09B}"/>
    <cellStyle name="Comma 853 2" xfId="2131" xr:uid="{6606B992-2B5C-434A-8A9B-54067E1050A4}"/>
    <cellStyle name="Comma 853 2 2" xfId="4189" xr:uid="{52694EB6-B8C0-4F81-8C77-E59C01B17DAB}"/>
    <cellStyle name="Comma 853 3" xfId="3159" xr:uid="{1B9C5D50-4945-46EC-A8C6-24A4E8A58634}"/>
    <cellStyle name="Comma 853 4" xfId="5285" xr:uid="{3F2A3EFC-0F1E-439B-A0D9-FF43A93648A7}"/>
    <cellStyle name="Comma 854" xfId="1094" xr:uid="{437D183F-F75D-4505-9AD6-75CEBFCBF073}"/>
    <cellStyle name="Comma 854 2" xfId="2132" xr:uid="{F9B8788C-0B42-447D-9A13-64037C8E55FC}"/>
    <cellStyle name="Comma 854 2 2" xfId="4190" xr:uid="{32C4099F-FC5C-4208-8511-267D9CB9E435}"/>
    <cellStyle name="Comma 854 3" xfId="3160" xr:uid="{559EC488-6316-4803-ABCE-1980402719F2}"/>
    <cellStyle name="Comma 854 4" xfId="5286" xr:uid="{A459C663-2ED3-4C27-8212-EA4785459E7D}"/>
    <cellStyle name="Comma 855" xfId="1095" xr:uid="{2AC4781C-0FB5-4465-95CB-0BA08393F4B6}"/>
    <cellStyle name="Comma 855 2" xfId="2133" xr:uid="{B9E95E2D-CA77-4C1B-ABF6-527DEF7AB808}"/>
    <cellStyle name="Comma 855 2 2" xfId="4191" xr:uid="{2865F222-B427-42B8-AD5E-59C1B3FD68EA}"/>
    <cellStyle name="Comma 855 3" xfId="3161" xr:uid="{A8E0092A-D87A-4FED-A3AB-979FA8CBC128}"/>
    <cellStyle name="Comma 855 4" xfId="5287" xr:uid="{9D3262D3-73E3-45AA-B1C0-DB19357F7586}"/>
    <cellStyle name="Comma 856" xfId="1096" xr:uid="{1F771DE9-CFFD-4B7E-A257-B598914D7C83}"/>
    <cellStyle name="Comma 856 2" xfId="2134" xr:uid="{13E96A83-CB1A-40F9-AECF-76C9E615B4F0}"/>
    <cellStyle name="Comma 856 2 2" xfId="4192" xr:uid="{74E27B59-1E03-43F3-981A-FA4766ED9A93}"/>
    <cellStyle name="Comma 856 3" xfId="3162" xr:uid="{A4462A83-AB09-4EC7-8385-969F3DB3E679}"/>
    <cellStyle name="Comma 856 4" xfId="5288" xr:uid="{57F172A3-8F0B-4719-8510-3D9396D588C6}"/>
    <cellStyle name="Comma 857" xfId="1097" xr:uid="{2E0BEA57-5444-4E1F-8D06-D39C96C0EB7C}"/>
    <cellStyle name="Comma 857 2" xfId="2135" xr:uid="{D986F980-1817-4661-AFF7-5C8EA84180BD}"/>
    <cellStyle name="Comma 857 2 2" xfId="4193" xr:uid="{2A72D985-86BB-4893-82C9-7C8151674BB9}"/>
    <cellStyle name="Comma 857 3" xfId="3163" xr:uid="{5068B8F5-34C3-4FFA-A071-8738F52F7D94}"/>
    <cellStyle name="Comma 857 4" xfId="5289" xr:uid="{87379C62-7A87-43BB-A3A0-EC2DFB6E7DCF}"/>
    <cellStyle name="Comma 858" xfId="1098" xr:uid="{A8611B48-5448-4CBE-92B8-BB8F48644661}"/>
    <cellStyle name="Comma 858 2" xfId="2136" xr:uid="{B66DF33D-439C-4429-8D67-6F7B4D7456BE}"/>
    <cellStyle name="Comma 858 2 2" xfId="4194" xr:uid="{1D39BD57-B366-4EBE-BC04-A695E4430FAA}"/>
    <cellStyle name="Comma 858 3" xfId="3164" xr:uid="{6F635DDA-7B59-4E6F-8CCD-C889C7792ED3}"/>
    <cellStyle name="Comma 858 4" xfId="5290" xr:uid="{3DC6C8F4-791B-4682-A3C1-8FA1AE641658}"/>
    <cellStyle name="Comma 859" xfId="1099" xr:uid="{D09617C9-885C-4D54-86E0-C8462C619CEB}"/>
    <cellStyle name="Comma 859 2" xfId="2137" xr:uid="{EF075726-858C-4CE8-9929-E59E6B8234FF}"/>
    <cellStyle name="Comma 859 2 2" xfId="4195" xr:uid="{AD087D51-AEA6-46DD-B099-0A422A438BA2}"/>
    <cellStyle name="Comma 859 3" xfId="3165" xr:uid="{D1ED7B50-42DE-448A-894C-262CFB996A33}"/>
    <cellStyle name="Comma 859 4" xfId="5291" xr:uid="{35817B4B-55FA-411B-91E0-9CDB4B162720}"/>
    <cellStyle name="Comma 86" xfId="299" xr:uid="{DE55C285-69EE-4FBD-9E70-A2D9F91B09CA}"/>
    <cellStyle name="Comma 86 2" xfId="1364" xr:uid="{C9F9046E-D586-47D0-BFC9-281AE446E07A}"/>
    <cellStyle name="Comma 86 2 2" xfId="3422" xr:uid="{A371D949-A621-4CCA-8084-3B6ECABF5A38}"/>
    <cellStyle name="Comma 86 3" xfId="2392" xr:uid="{7F8C6114-F9B7-4D06-8753-5C56350C7191}"/>
    <cellStyle name="Comma 86 4" xfId="4518" xr:uid="{EC096854-1E36-475A-8603-6E7BDF45529F}"/>
    <cellStyle name="Comma 860" xfId="1100" xr:uid="{327512FA-E0F9-4B6C-A220-EA55EEF142B1}"/>
    <cellStyle name="Comma 860 2" xfId="2138" xr:uid="{21609CD8-4F3A-4BA2-98E9-0D63CE0893C0}"/>
    <cellStyle name="Comma 860 2 2" xfId="4196" xr:uid="{9E1CF44A-8540-46C6-B94A-AF43C668F490}"/>
    <cellStyle name="Comma 860 3" xfId="3166" xr:uid="{24268C38-934E-4C44-B051-07A245DCCFCE}"/>
    <cellStyle name="Comma 860 4" xfId="5292" xr:uid="{8A461407-A598-4131-A70F-2C331853E67A}"/>
    <cellStyle name="Comma 861" xfId="1101" xr:uid="{02DB9641-6B09-4D7C-899C-E9B17AEB2A0A}"/>
    <cellStyle name="Comma 861 2" xfId="2139" xr:uid="{94AEE11F-D214-49E9-B306-4170C2D01EFD}"/>
    <cellStyle name="Comma 861 2 2" xfId="4197" xr:uid="{12E56322-BC40-4F91-AF16-BBF4202AC5F0}"/>
    <cellStyle name="Comma 861 3" xfId="3167" xr:uid="{13FA404C-6457-4BA5-B0A9-0D76236CBA42}"/>
    <cellStyle name="Comma 861 4" xfId="5293" xr:uid="{D45D42B5-7169-4166-BC05-9D3CDB5F727A}"/>
    <cellStyle name="Comma 862" xfId="1102" xr:uid="{9C06894C-6F25-4938-80AE-D6557D2C6FA4}"/>
    <cellStyle name="Comma 862 2" xfId="2140" xr:uid="{95316B71-B100-48B1-8F1A-643DE84B7EA3}"/>
    <cellStyle name="Comma 862 2 2" xfId="4198" xr:uid="{D8900B89-15AD-4BB5-A1C1-B3340650169F}"/>
    <cellStyle name="Comma 862 3" xfId="3168" xr:uid="{7F23BD09-6333-4F81-81CB-3C05F7785890}"/>
    <cellStyle name="Comma 862 4" xfId="5294" xr:uid="{2A34814E-EA19-4BB0-B7B2-E99836D0B1FD}"/>
    <cellStyle name="Comma 863" xfId="1103" xr:uid="{96E42C17-179F-447E-A5DD-B93C53861770}"/>
    <cellStyle name="Comma 863 2" xfId="2141" xr:uid="{7726079A-A248-4A46-BF99-C6CDB59D5165}"/>
    <cellStyle name="Comma 863 2 2" xfId="4199" xr:uid="{5AB13BAB-1C8A-45BD-BDCB-2B6705B9AA8D}"/>
    <cellStyle name="Comma 863 3" xfId="3169" xr:uid="{86CC266A-8C06-4C48-9F18-E572390A7FFE}"/>
    <cellStyle name="Comma 863 4" xfId="5295" xr:uid="{E65AF708-7730-462B-936A-E59AA5F87175}"/>
    <cellStyle name="Comma 864" xfId="1104" xr:uid="{3567AE89-2B4C-487B-B17F-E1E9C486DEFF}"/>
    <cellStyle name="Comma 864 2" xfId="2142" xr:uid="{2E21748C-F133-40F3-9A9F-28B1CD24B72E}"/>
    <cellStyle name="Comma 864 2 2" xfId="4200" xr:uid="{5CE7BFA8-1653-47A7-BF2A-84670ACC882B}"/>
    <cellStyle name="Comma 864 3" xfId="3170" xr:uid="{C595162C-0098-4E63-AB6C-8FA8631E2ECD}"/>
    <cellStyle name="Comma 864 4" xfId="5296" xr:uid="{0615FC24-255A-42ED-BEB8-13E2C7AA55A8}"/>
    <cellStyle name="Comma 865" xfId="1105" xr:uid="{F7B8E2EA-A1FD-4B1D-A223-FFC4B18158EE}"/>
    <cellStyle name="Comma 865 2" xfId="2143" xr:uid="{F5BEEDDD-12A1-4909-8697-807A094E562B}"/>
    <cellStyle name="Comma 865 2 2" xfId="4201" xr:uid="{A5406B15-BBBD-40AA-B3D7-50D231C2ED53}"/>
    <cellStyle name="Comma 865 3" xfId="3171" xr:uid="{3FE4F6E2-E7C7-4404-A086-4365C96B7EBC}"/>
    <cellStyle name="Comma 865 4" xfId="5297" xr:uid="{189ACF4A-2C3B-46C6-9955-5A6981B0FAA3}"/>
    <cellStyle name="Comma 866" xfId="1106" xr:uid="{D37AA2F1-81D6-4D45-B4A8-AAFB9ED1C4B5}"/>
    <cellStyle name="Comma 866 2" xfId="2144" xr:uid="{D4803D71-49AC-4DC8-B079-F8FCE1CF1AF2}"/>
    <cellStyle name="Comma 866 2 2" xfId="4202" xr:uid="{D1557DA0-8DC7-41C6-B98A-4259B5CB169E}"/>
    <cellStyle name="Comma 866 3" xfId="3172" xr:uid="{C4C3ABCD-0AAB-429F-8BF5-73F7AC03FA2D}"/>
    <cellStyle name="Comma 866 4" xfId="5298" xr:uid="{D1DDC834-2E48-4D96-A2C2-B2C471DBA6E1}"/>
    <cellStyle name="Comma 867" xfId="1107" xr:uid="{EDF593A3-8E43-4FB9-B638-58C8597C4786}"/>
    <cellStyle name="Comma 867 2" xfId="2145" xr:uid="{83F6F769-2194-4F62-8A84-837C2959E52A}"/>
    <cellStyle name="Comma 867 2 2" xfId="4203" xr:uid="{7903D740-AB8A-40F6-81E6-4CB27E91E23B}"/>
    <cellStyle name="Comma 867 3" xfId="3173" xr:uid="{1034EB06-0A86-4E86-9AC6-D077CD512E8D}"/>
    <cellStyle name="Comma 867 4" xfId="5299" xr:uid="{635A6AB9-CBAE-4C7C-B855-75D614C16D30}"/>
    <cellStyle name="Comma 868" xfId="1108" xr:uid="{BF3D19AB-4FE2-417D-AB97-95097ECA7ED9}"/>
    <cellStyle name="Comma 868 2" xfId="2146" xr:uid="{D3B0B081-09DD-48F0-B458-5D6088F66D74}"/>
    <cellStyle name="Comma 868 2 2" xfId="4204" xr:uid="{87EFAB6C-53F7-43F8-BA8A-67EAF4A449BC}"/>
    <cellStyle name="Comma 868 3" xfId="3174" xr:uid="{6A342E94-C2F2-49CA-861B-E03DA0CD0C92}"/>
    <cellStyle name="Comma 868 4" xfId="5300" xr:uid="{21440DC1-1829-4ACA-BB3E-B0F73A2965F6}"/>
    <cellStyle name="Comma 869" xfId="1109" xr:uid="{05C7C853-D775-410F-B73E-A0151CC5395B}"/>
    <cellStyle name="Comma 869 2" xfId="2147" xr:uid="{80A90046-20F0-4C0D-B017-A46233A4AF4D}"/>
    <cellStyle name="Comma 869 2 2" xfId="4205" xr:uid="{38CE4B1F-C393-426C-95DB-66FD1E96947B}"/>
    <cellStyle name="Comma 869 3" xfId="3175" xr:uid="{DCFCC0EB-5610-4CBD-B7DA-833526C6D262}"/>
    <cellStyle name="Comma 869 4" xfId="5301" xr:uid="{49AB8B4A-BD0C-4641-A67D-3EDBE09475CB}"/>
    <cellStyle name="Comma 87" xfId="301" xr:uid="{9FBCCC61-8286-48E1-90ED-DE356E32AC47}"/>
    <cellStyle name="Comma 87 2" xfId="1365" xr:uid="{72F5B45D-8783-440D-8A50-06F008190F12}"/>
    <cellStyle name="Comma 87 2 2" xfId="3423" xr:uid="{051CC18F-D9AD-409B-B7FD-0F9A21344C08}"/>
    <cellStyle name="Comma 87 3" xfId="2393" xr:uid="{4E933B7A-C7FD-4841-8EB6-A48BEFF28883}"/>
    <cellStyle name="Comma 87 4" xfId="4519" xr:uid="{0F74C827-E6E9-4258-AB5C-43E8F21CE61C}"/>
    <cellStyle name="Comma 870" xfId="1110" xr:uid="{A4DB84B3-8858-4BF2-97B6-A588D459049C}"/>
    <cellStyle name="Comma 870 2" xfId="2148" xr:uid="{5D8CA38F-9394-4220-9528-CA0AC1E7F3C7}"/>
    <cellStyle name="Comma 870 2 2" xfId="4206" xr:uid="{C46D8C5B-B753-4392-9F95-82B67C2156B1}"/>
    <cellStyle name="Comma 870 3" xfId="3176" xr:uid="{9298F767-09E1-4E12-ADC9-324094918D4B}"/>
    <cellStyle name="Comma 870 4" xfId="5302" xr:uid="{411CBEF0-583F-44DB-8237-1504BCEB0FBD}"/>
    <cellStyle name="Comma 871" xfId="1111" xr:uid="{E1E6E153-420B-4178-B4C1-A96743226E25}"/>
    <cellStyle name="Comma 871 2" xfId="2149" xr:uid="{9A2BED0C-237C-485E-B3B8-21496EE2A67A}"/>
    <cellStyle name="Comma 871 2 2" xfId="4207" xr:uid="{969A8638-6DAE-4DC7-912B-EE7C6633DC09}"/>
    <cellStyle name="Comma 871 3" xfId="3177" xr:uid="{A6F5AF9F-1D92-42A3-8F64-BC74891F021A}"/>
    <cellStyle name="Comma 871 4" xfId="5303" xr:uid="{DBCA8CDE-FB75-478B-B061-9838D8A9A1B3}"/>
    <cellStyle name="Comma 872" xfId="1112" xr:uid="{D434DB9B-69ED-44F6-978C-896F666707BF}"/>
    <cellStyle name="Comma 872 2" xfId="2150" xr:uid="{13795508-D0DB-43D1-A15E-2ADAB214855E}"/>
    <cellStyle name="Comma 872 2 2" xfId="4208" xr:uid="{DB59C724-6F0E-4659-8015-B4CEB6B9F0BF}"/>
    <cellStyle name="Comma 872 3" xfId="3178" xr:uid="{79B90C0E-6967-49BE-A43F-1BB9D65874A6}"/>
    <cellStyle name="Comma 872 4" xfId="5304" xr:uid="{BC669582-D6EA-45C4-BB5A-8F73B9BF8C1E}"/>
    <cellStyle name="Comma 873" xfId="1113" xr:uid="{C15F09BD-D810-4834-97EA-F61F4589F0D1}"/>
    <cellStyle name="Comma 873 2" xfId="2151" xr:uid="{64C7805C-44F5-44E4-8F1A-8061B573181E}"/>
    <cellStyle name="Comma 873 2 2" xfId="4209" xr:uid="{C8F5AC4F-D198-4621-95CC-3B724FDD844D}"/>
    <cellStyle name="Comma 873 3" xfId="3179" xr:uid="{BA4C4006-D9AD-4BB9-A22C-6C7F45C2D12F}"/>
    <cellStyle name="Comma 873 4" xfId="5305" xr:uid="{28199282-AA40-4193-AF6B-20488FB104A7}"/>
    <cellStyle name="Comma 874" xfId="1114" xr:uid="{AE6303E0-D146-47A2-A45B-AFEC580987E1}"/>
    <cellStyle name="Comma 874 2" xfId="2152" xr:uid="{5F71333A-515C-490A-80E3-7866B66E901E}"/>
    <cellStyle name="Comma 874 2 2" xfId="4210" xr:uid="{D09B4C12-B3B0-4266-9484-5BAD8B94C78C}"/>
    <cellStyle name="Comma 874 3" xfId="3180" xr:uid="{89A8C498-DC64-4719-99E6-8439EE1DFF93}"/>
    <cellStyle name="Comma 874 4" xfId="5306" xr:uid="{D81BF6C9-6B39-4211-AD29-864298F113FF}"/>
    <cellStyle name="Comma 875" xfId="1115" xr:uid="{7BD726EA-A291-4FFC-8438-0058655F3F56}"/>
    <cellStyle name="Comma 875 2" xfId="2153" xr:uid="{C301DAE0-4C01-4FD2-A597-EC088CC8CED8}"/>
    <cellStyle name="Comma 875 2 2" xfId="4211" xr:uid="{4AAA8DDA-419F-41DB-B78C-C9110A5A8FDB}"/>
    <cellStyle name="Comma 875 3" xfId="3181" xr:uid="{C23F680B-C5DA-41CB-90F1-12EC3E6F4618}"/>
    <cellStyle name="Comma 875 4" xfId="5307" xr:uid="{70D0A34A-0864-47F9-B2CF-606508911279}"/>
    <cellStyle name="Comma 876" xfId="1116" xr:uid="{57DE3260-A155-4981-93EC-2E41AE60C888}"/>
    <cellStyle name="Comma 876 2" xfId="2154" xr:uid="{57D2B5F7-CBEC-41BA-A6BC-CB2DEBA773F0}"/>
    <cellStyle name="Comma 876 2 2" xfId="4212" xr:uid="{09396C08-796B-45D2-BC5C-69E5499606DB}"/>
    <cellStyle name="Comma 876 3" xfId="3182" xr:uid="{5E082D87-86A8-421A-91FA-B3DD559C26D1}"/>
    <cellStyle name="Comma 876 4" xfId="5308" xr:uid="{485353F8-9C27-4617-9B25-CB3FFF3508C3}"/>
    <cellStyle name="Comma 877" xfId="1117" xr:uid="{688CAFA2-62AB-4A8A-902F-EB02571D5C97}"/>
    <cellStyle name="Comma 877 2" xfId="2155" xr:uid="{BDFEFEF2-7A10-48F0-97B0-C980AB1E40E8}"/>
    <cellStyle name="Comma 877 2 2" xfId="4213" xr:uid="{44910E9B-A208-4700-9E16-7E4747FC34DE}"/>
    <cellStyle name="Comma 877 3" xfId="3183" xr:uid="{99AAAED6-AFD0-4396-9408-0FD2B06137AE}"/>
    <cellStyle name="Comma 877 4" xfId="5309" xr:uid="{3EDBE5B4-A971-4550-8E51-565DAD78C93C}"/>
    <cellStyle name="Comma 878" xfId="1118" xr:uid="{EE8EFCCA-88CB-4EEE-99C2-B5B1208DAB7F}"/>
    <cellStyle name="Comma 878 2" xfId="2156" xr:uid="{5E7CA93A-24C8-40BA-A2F1-72C027BCB8E8}"/>
    <cellStyle name="Comma 878 2 2" xfId="4214" xr:uid="{19E26B44-6459-44E2-AE63-EA3DE4E4B387}"/>
    <cellStyle name="Comma 878 3" xfId="3184" xr:uid="{E743D29D-50BE-4E3C-8467-044D957F9DC0}"/>
    <cellStyle name="Comma 878 4" xfId="5310" xr:uid="{9BDBEFFD-B8E1-4CDC-8441-983636749ADF}"/>
    <cellStyle name="Comma 879" xfId="1119" xr:uid="{A6DD14C8-4E00-4AAE-84B7-14B1B47375ED}"/>
    <cellStyle name="Comma 879 2" xfId="2157" xr:uid="{124D7290-2336-4EBE-92D4-4997B607B810}"/>
    <cellStyle name="Comma 879 2 2" xfId="4215" xr:uid="{DABBE0ED-A910-4CC7-8338-70D182D39A7D}"/>
    <cellStyle name="Comma 879 3" xfId="3185" xr:uid="{39B1E68A-07CC-4EDF-AF21-3A98B00F254B}"/>
    <cellStyle name="Comma 879 4" xfId="5311" xr:uid="{8FC4F0AE-9801-4FA2-BCD2-ECD1E7C29CA3}"/>
    <cellStyle name="Comma 88" xfId="302" xr:uid="{6A9FF043-E7D6-4B37-A58D-E782D131FA95}"/>
    <cellStyle name="Comma 88 2" xfId="1366" xr:uid="{85851B64-2B81-4B56-ADEC-7FA0E4337A8F}"/>
    <cellStyle name="Comma 88 2 2" xfId="3424" xr:uid="{2D7C3F32-EC63-4426-BC2B-A1EEC54AD14F}"/>
    <cellStyle name="Comma 88 3" xfId="2394" xr:uid="{9DB3F7EE-5213-438A-A35E-AC6C0B1D148F}"/>
    <cellStyle name="Comma 88 4" xfId="4520" xr:uid="{5E089EBB-5572-41BF-B906-618A9A77C1A8}"/>
    <cellStyle name="Comma 880" xfId="1120" xr:uid="{9AD63CE6-B978-46C8-B6CE-162F22914DCC}"/>
    <cellStyle name="Comma 880 2" xfId="2158" xr:uid="{F4235B89-C2CD-405E-AE00-D05F2FF185AD}"/>
    <cellStyle name="Comma 880 2 2" xfId="4216" xr:uid="{CD6D33EF-16F0-4EA9-B68C-C2842787BE8B}"/>
    <cellStyle name="Comma 880 3" xfId="3186" xr:uid="{1547BDB0-DCB4-4D6B-BA05-B460D527ED2A}"/>
    <cellStyle name="Comma 880 4" xfId="5312" xr:uid="{9451EA44-F113-4F48-8280-48EB3C50271A}"/>
    <cellStyle name="Comma 881" xfId="1121" xr:uid="{4109F32E-9F22-42DD-BF43-BDF51C4F7884}"/>
    <cellStyle name="Comma 881 2" xfId="2159" xr:uid="{9CE49A15-DE80-4DB8-BDC7-2A164800086B}"/>
    <cellStyle name="Comma 881 2 2" xfId="4217" xr:uid="{DFACBD3E-40F8-4902-80C0-9CE99E4BEE05}"/>
    <cellStyle name="Comma 881 3" xfId="3187" xr:uid="{11FE7570-4664-469E-A0B6-0D91B50CD660}"/>
    <cellStyle name="Comma 881 4" xfId="5313" xr:uid="{E63F7ED1-8DAB-4A33-9E08-B4625BE4664C}"/>
    <cellStyle name="Comma 882" xfId="1122" xr:uid="{EDAC929F-39B8-4634-A0DD-7A56B979D402}"/>
    <cellStyle name="Comma 882 2" xfId="2160" xr:uid="{E87D34A5-E989-4F63-8141-0D2A5E4D4315}"/>
    <cellStyle name="Comma 882 2 2" xfId="4218" xr:uid="{E4AE0D1E-D53D-4580-9E67-52CA6943B00E}"/>
    <cellStyle name="Comma 882 3" xfId="3188" xr:uid="{A722035A-1E41-41F0-B44C-FFA942857A86}"/>
    <cellStyle name="Comma 882 4" xfId="5314" xr:uid="{E159DB49-A983-4021-93AF-808F7D2C4AE8}"/>
    <cellStyle name="Comma 883" xfId="1123" xr:uid="{E8DDE722-F539-4BB5-92E1-35E52455F515}"/>
    <cellStyle name="Comma 883 2" xfId="2161" xr:uid="{76129F59-8FE5-441D-88FC-B3E38AF43733}"/>
    <cellStyle name="Comma 883 2 2" xfId="4219" xr:uid="{2854D774-76D6-4194-B873-3BDA89884456}"/>
    <cellStyle name="Comma 883 3" xfId="3189" xr:uid="{EB69E032-45A4-44AA-A383-15EBA5ACBE52}"/>
    <cellStyle name="Comma 883 4" xfId="5315" xr:uid="{4D6265A1-CB57-4661-9654-B97E3BBAF526}"/>
    <cellStyle name="Comma 884" xfId="1124" xr:uid="{97393C9E-62FA-4294-96A6-4FAD0C63970D}"/>
    <cellStyle name="Comma 884 2" xfId="2162" xr:uid="{04792462-D795-4DD2-8777-ECE386255A3E}"/>
    <cellStyle name="Comma 884 2 2" xfId="4220" xr:uid="{B6D9625D-E5EA-49A4-A861-4B052BE5AD6D}"/>
    <cellStyle name="Comma 884 3" xfId="3190" xr:uid="{8978284A-7BE2-4265-AA1C-8C45A9CB98F9}"/>
    <cellStyle name="Comma 884 4" xfId="5316" xr:uid="{EB664FDB-496A-47F7-9520-CCF7121BFE29}"/>
    <cellStyle name="Comma 885" xfId="1125" xr:uid="{3B830C29-625D-4492-9F0A-262F80590960}"/>
    <cellStyle name="Comma 885 2" xfId="2163" xr:uid="{C1B6C892-D387-4ED5-BE28-AB71308212A2}"/>
    <cellStyle name="Comma 885 2 2" xfId="4221" xr:uid="{C0CF87AF-4253-46D4-9747-14191FC2F15C}"/>
    <cellStyle name="Comma 885 3" xfId="3191" xr:uid="{3D825E58-FA73-4D01-9B3E-C3BC28D072BB}"/>
    <cellStyle name="Comma 885 4" xfId="5317" xr:uid="{1E2CACA7-EBB0-4B75-B9C5-D79E0F18C992}"/>
    <cellStyle name="Comma 886" xfId="1126" xr:uid="{0878E60C-02DD-42BC-B65F-1BA5ADEC9E09}"/>
    <cellStyle name="Comma 886 2" xfId="2164" xr:uid="{B64B1EFF-5EAF-4371-B04A-C97F84F3CFEC}"/>
    <cellStyle name="Comma 886 2 2" xfId="4222" xr:uid="{CC069431-010F-4E6C-889F-75465A539A5D}"/>
    <cellStyle name="Comma 886 3" xfId="3192" xr:uid="{AF3ADDD9-9AF9-4F8E-BC36-589B95F688B7}"/>
    <cellStyle name="Comma 886 4" xfId="5318" xr:uid="{1D01824E-A41D-4867-99F5-BFA875C30B23}"/>
    <cellStyle name="Comma 887" xfId="1127" xr:uid="{DA8B6DFB-BC9F-42B1-9909-9FBE41BB92D3}"/>
    <cellStyle name="Comma 887 2" xfId="2165" xr:uid="{4BDB0DF6-1704-4B13-823C-B2ED98522626}"/>
    <cellStyle name="Comma 887 2 2" xfId="4223" xr:uid="{50193DF1-6D4A-4313-8774-DAAF5CD49DD7}"/>
    <cellStyle name="Comma 887 3" xfId="3193" xr:uid="{E673EFAF-3EC1-4371-A970-15BAB7236652}"/>
    <cellStyle name="Comma 887 4" xfId="5319" xr:uid="{527F560F-3090-4880-BBAB-982A1C9A0B15}"/>
    <cellStyle name="Comma 888" xfId="1128" xr:uid="{A893F6DA-D398-4532-B044-CAE5E005593E}"/>
    <cellStyle name="Comma 888 2" xfId="2166" xr:uid="{F44DF73D-A5B3-4770-93B5-F9880223CC72}"/>
    <cellStyle name="Comma 888 2 2" xfId="4224" xr:uid="{0E930184-A3D1-407B-A06B-CB40740B2898}"/>
    <cellStyle name="Comma 888 3" xfId="3194" xr:uid="{CDD114FF-9752-4227-8DBE-AA616507617B}"/>
    <cellStyle name="Comma 888 4" xfId="5320" xr:uid="{E002C11E-38F6-4B67-AD39-16B68F8F5A25}"/>
    <cellStyle name="Comma 889" xfId="1129" xr:uid="{0C5DFB6A-5AF1-4AF3-BA63-2575BCAF2F71}"/>
    <cellStyle name="Comma 889 2" xfId="2167" xr:uid="{C6BF5723-E9C1-4282-8029-62B13420A575}"/>
    <cellStyle name="Comma 889 2 2" xfId="4225" xr:uid="{5CAB2FDE-38A6-4FE1-92BD-6B45D57BE8F2}"/>
    <cellStyle name="Comma 889 3" xfId="3195" xr:uid="{DCB17B09-5A80-4A51-94BB-0EA9D28AF06A}"/>
    <cellStyle name="Comma 889 4" xfId="5321" xr:uid="{846A5EA7-FC48-48DF-86B5-3A90468360B4}"/>
    <cellStyle name="Comma 89" xfId="303" xr:uid="{B7AF396A-C8DC-44FF-B911-BB13F224D5C8}"/>
    <cellStyle name="Comma 89 2" xfId="1367" xr:uid="{CA109C8E-2D33-40ED-AC3E-FBD477583792}"/>
    <cellStyle name="Comma 89 2 2" xfId="3425" xr:uid="{5F8B63CE-779D-4179-9867-EDD458F22485}"/>
    <cellStyle name="Comma 89 3" xfId="2395" xr:uid="{91B4D079-7608-4C3A-AE35-5969F46ABC7E}"/>
    <cellStyle name="Comma 89 4" xfId="4521" xr:uid="{C02C3135-0E54-481A-8272-5B0D5FEFE334}"/>
    <cellStyle name="Comma 890" xfId="1130" xr:uid="{21C205F9-509A-44C6-AB6E-1BAD92E04FA7}"/>
    <cellStyle name="Comma 890 2" xfId="2168" xr:uid="{EA040D70-A911-439C-BA61-205316CF4770}"/>
    <cellStyle name="Comma 890 2 2" xfId="4226" xr:uid="{BA43CBE7-AB24-43C9-A57D-D792A98AB61E}"/>
    <cellStyle name="Comma 890 3" xfId="3196" xr:uid="{07DA50CE-C26B-4FFE-95FD-94A7DDC5C587}"/>
    <cellStyle name="Comma 890 4" xfId="5322" xr:uid="{324A4E91-25CF-4CE4-B1DF-B08C58F83BD2}"/>
    <cellStyle name="Comma 891" xfId="1131" xr:uid="{56FB4B51-3A25-496A-A39D-3A71F5F04083}"/>
    <cellStyle name="Comma 891 2" xfId="2169" xr:uid="{FB73EDF6-05D0-4685-B992-5E37511018B6}"/>
    <cellStyle name="Comma 891 2 2" xfId="4227" xr:uid="{39337DD2-D871-4561-8A39-C748C4DB8526}"/>
    <cellStyle name="Comma 891 3" xfId="3197" xr:uid="{EA91E385-4E12-412E-A7D4-C422F95D1A53}"/>
    <cellStyle name="Comma 891 4" xfId="5323" xr:uid="{7B4A453E-8A3F-483D-B29F-5E8EAD74B5DF}"/>
    <cellStyle name="Comma 892" xfId="1132" xr:uid="{06279597-7A5F-404B-BC24-5DEA32650683}"/>
    <cellStyle name="Comma 892 2" xfId="2170" xr:uid="{4518B62B-6521-45BB-B6DA-9E6D31ED45CC}"/>
    <cellStyle name="Comma 892 2 2" xfId="4228" xr:uid="{9976C939-EB9B-46C1-899B-BB520C4ED99A}"/>
    <cellStyle name="Comma 892 3" xfId="3198" xr:uid="{784A9328-E9A0-4154-A255-BF719C26E227}"/>
    <cellStyle name="Comma 892 4" xfId="5324" xr:uid="{B425DA5A-B406-4CB3-92AC-5C8E3CCD1798}"/>
    <cellStyle name="Comma 893" xfId="1133" xr:uid="{D82C00BE-5DDC-481C-B31D-627C523451AF}"/>
    <cellStyle name="Comma 893 2" xfId="2171" xr:uid="{9D6446F4-5B77-4554-96B2-299AC2BCC1A9}"/>
    <cellStyle name="Comma 893 2 2" xfId="4229" xr:uid="{F70C48BB-CDEB-4886-99DB-0FC731E7A51F}"/>
    <cellStyle name="Comma 893 3" xfId="3199" xr:uid="{C0F032EF-A28C-408D-94EE-0CF6E43A976F}"/>
    <cellStyle name="Comma 893 4" xfId="5325" xr:uid="{29A420F4-0C67-4E6D-B1E3-8132F6B2B925}"/>
    <cellStyle name="Comma 894" xfId="1134" xr:uid="{6EC63375-1221-41FD-85FD-5DF548D80116}"/>
    <cellStyle name="Comma 894 2" xfId="2172" xr:uid="{4FF0CDB6-E667-4860-8868-4B53844C80A5}"/>
    <cellStyle name="Comma 894 2 2" xfId="4230" xr:uid="{3100D32B-04C2-4FDC-B0CC-9AAA64F664E5}"/>
    <cellStyle name="Comma 894 3" xfId="3200" xr:uid="{499BB89E-0BDF-4EDD-8428-6B183115BB96}"/>
    <cellStyle name="Comma 894 4" xfId="5326" xr:uid="{635A5F63-F88F-450A-B998-28A1FF0CC633}"/>
    <cellStyle name="Comma 895" xfId="1135" xr:uid="{72BC37A3-7451-4DD5-9246-95ED0329CFE2}"/>
    <cellStyle name="Comma 895 2" xfId="2173" xr:uid="{7F044833-FE3D-4350-AB05-42F750A81DFD}"/>
    <cellStyle name="Comma 895 2 2" xfId="4231" xr:uid="{75188BD4-450E-4773-A4CD-6B363DBD41D9}"/>
    <cellStyle name="Comma 895 3" xfId="3201" xr:uid="{28BC97E0-F7DD-4CBE-B9E9-C0377482618B}"/>
    <cellStyle name="Comma 895 4" xfId="5327" xr:uid="{0FB145E1-C754-4299-ADB4-99DA2CC1BE4C}"/>
    <cellStyle name="Comma 896" xfId="1136" xr:uid="{87DBD93E-5EED-4589-9D3D-6CD166D99A00}"/>
    <cellStyle name="Comma 896 2" xfId="2174" xr:uid="{49EE85F8-0AA5-4500-8BF1-16A10D85D1EB}"/>
    <cellStyle name="Comma 896 2 2" xfId="4232" xr:uid="{8B42BCB3-38AD-423B-BCC6-56973E06DE1F}"/>
    <cellStyle name="Comma 896 3" xfId="3202" xr:uid="{D4BF07C4-99F7-494B-A30D-1801419CC542}"/>
    <cellStyle name="Comma 896 4" xfId="5328" xr:uid="{5D515008-B18A-43EA-960A-2ED6C1E81388}"/>
    <cellStyle name="Comma 897" xfId="1137" xr:uid="{F070C5C9-03EF-4523-BED1-4004630A5485}"/>
    <cellStyle name="Comma 897 2" xfId="2175" xr:uid="{F0815505-8459-419B-9983-93E868EA64EE}"/>
    <cellStyle name="Comma 897 2 2" xfId="4233" xr:uid="{220371E7-87F4-4352-BFD9-70212AB339CF}"/>
    <cellStyle name="Comma 897 3" xfId="3203" xr:uid="{1A03F1EB-2BB1-42B4-96FE-EB70BB6B8A4C}"/>
    <cellStyle name="Comma 897 4" xfId="5329" xr:uid="{4154B1F8-1AB2-4407-833B-444F28BEE865}"/>
    <cellStyle name="Comma 898" xfId="1138" xr:uid="{EFE0475B-32A8-45DB-826C-16B39DD8C604}"/>
    <cellStyle name="Comma 898 2" xfId="2176" xr:uid="{134F206C-518F-479E-BA4A-EAF4B37226CF}"/>
    <cellStyle name="Comma 898 2 2" xfId="4234" xr:uid="{7D1E66C6-8F96-4304-BEBB-64B90F87F2E7}"/>
    <cellStyle name="Comma 898 3" xfId="3204" xr:uid="{C3C804EB-2AFB-4542-B6CF-9CB880DAA71E}"/>
    <cellStyle name="Comma 898 4" xfId="5330" xr:uid="{1EC69873-4AAE-4DA9-8400-2D6A7E445192}"/>
    <cellStyle name="Comma 899" xfId="1139" xr:uid="{4D8D30F3-6277-4513-A90E-36B83A119819}"/>
    <cellStyle name="Comma 899 2" xfId="2177" xr:uid="{B6E73616-1306-43AF-B7A6-C80EDBAEF510}"/>
    <cellStyle name="Comma 899 2 2" xfId="4235" xr:uid="{41246519-5F83-4E27-8E83-7372FE20B9D0}"/>
    <cellStyle name="Comma 899 3" xfId="3205" xr:uid="{D01118BB-893F-4046-9DC9-1D500B31003A}"/>
    <cellStyle name="Comma 899 4" xfId="5331" xr:uid="{5EC8976A-C195-417D-90BF-5A2A59FEB607}"/>
    <cellStyle name="Comma 9" xfId="201" xr:uid="{0B417BF3-55D5-4F0E-91F1-00B5C81CA029}"/>
    <cellStyle name="Comma 9 2" xfId="1287" xr:uid="{D95332D4-63AD-4D56-9D16-681E6A3C2EA6}"/>
    <cellStyle name="Comma 9 2 2" xfId="3345" xr:uid="{B843E342-6F8F-45C5-B06F-2896AFA100C9}"/>
    <cellStyle name="Comma 9 3" xfId="2315" xr:uid="{4DED934C-58B7-430B-8036-E9EC9ED70A51}"/>
    <cellStyle name="Comma 9 4" xfId="4441" xr:uid="{198EF511-C200-458A-9D68-5C8271AECDFA}"/>
    <cellStyle name="Comma 90" xfId="304" xr:uid="{43A550A1-E5E4-4020-98A9-D3E5432BF125}"/>
    <cellStyle name="Comma 90 2" xfId="1368" xr:uid="{E2886A9D-1971-4401-BC8A-E909FEBE62ED}"/>
    <cellStyle name="Comma 90 2 2" xfId="3426" xr:uid="{FEE8796E-4A4F-46B8-B0CE-7AE6AF87B1D2}"/>
    <cellStyle name="Comma 90 3" xfId="2396" xr:uid="{7CA8C4C9-A77F-40FE-B184-E6F5772D4F61}"/>
    <cellStyle name="Comma 90 4" xfId="4522" xr:uid="{DF1E2311-7D83-48D3-8518-FB3C93FA230F}"/>
    <cellStyle name="Comma 900" xfId="1140" xr:uid="{DF6FC738-502D-4C04-AE1F-37BB16EC3398}"/>
    <cellStyle name="Comma 900 2" xfId="2178" xr:uid="{89458137-236C-4D58-8771-2B929CE76FFD}"/>
    <cellStyle name="Comma 900 2 2" xfId="4236" xr:uid="{63A55369-3BDC-43D6-B7E8-BC35C10933D7}"/>
    <cellStyle name="Comma 900 3" xfId="3206" xr:uid="{51B527E2-A701-413D-946E-A3F58F8B0F60}"/>
    <cellStyle name="Comma 900 4" xfId="5332" xr:uid="{ABB751EE-60E2-42BD-BD78-64ABF792C97D}"/>
    <cellStyle name="Comma 901" xfId="1141" xr:uid="{3763F0D5-4EAE-494E-A488-462BC032F4E3}"/>
    <cellStyle name="Comma 901 2" xfId="2179" xr:uid="{A4730331-2851-4C7E-9AB5-A13162C363DB}"/>
    <cellStyle name="Comma 901 2 2" xfId="4237" xr:uid="{552ECBD3-B80E-4207-9176-5BFDA5E50F77}"/>
    <cellStyle name="Comma 901 3" xfId="3207" xr:uid="{F8E38CA6-C144-42C0-9412-A1578F96ED0C}"/>
    <cellStyle name="Comma 901 4" xfId="5333" xr:uid="{395ADC8C-AEB8-42CE-9DED-891ED4854953}"/>
    <cellStyle name="Comma 902" xfId="1142" xr:uid="{D2AB9CD7-39E6-4C72-80E5-35D55C7DF795}"/>
    <cellStyle name="Comma 902 2" xfId="2180" xr:uid="{E7953947-ED48-46F9-A2DA-2E388729EBC4}"/>
    <cellStyle name="Comma 902 2 2" xfId="4238" xr:uid="{1B713E2B-83B1-4BEC-ADA1-C20E299D469E}"/>
    <cellStyle name="Comma 902 3" xfId="3208" xr:uid="{FA1F33E7-A3E6-4033-B2FD-25DCD2972759}"/>
    <cellStyle name="Comma 902 4" xfId="5334" xr:uid="{7004E5FB-EBEB-4EC5-8E71-B057D986FDC7}"/>
    <cellStyle name="Comma 903" xfId="1143" xr:uid="{F9220388-261C-455B-AF16-EC3F9049A2F1}"/>
    <cellStyle name="Comma 903 2" xfId="2181" xr:uid="{ACEC06EF-7B46-4D08-9726-A6C80816DF5F}"/>
    <cellStyle name="Comma 903 2 2" xfId="4239" xr:uid="{50943DBD-9BF4-4367-B506-EFBB6106509B}"/>
    <cellStyle name="Comma 903 3" xfId="3209" xr:uid="{2C122D34-B2BD-4A87-BAC4-0155AB2DC8C2}"/>
    <cellStyle name="Comma 903 4" xfId="5335" xr:uid="{2059FEA9-C984-4BBF-95C2-13FA9D95854F}"/>
    <cellStyle name="Comma 904" xfId="1144" xr:uid="{4B1B2358-0203-40AE-996F-8D77B76D1F70}"/>
    <cellStyle name="Comma 904 2" xfId="2182" xr:uid="{18CC3C5A-4705-4495-9917-255E13526D21}"/>
    <cellStyle name="Comma 904 2 2" xfId="4240" xr:uid="{85701341-BFBA-4E77-8737-C162CCD3E5E8}"/>
    <cellStyle name="Comma 904 3" xfId="3210" xr:uid="{EC6AECE0-F71C-4EA4-B002-09718AC76C5F}"/>
    <cellStyle name="Comma 904 4" xfId="5336" xr:uid="{E89D64AE-1F23-4615-8A52-87CF5C9496CF}"/>
    <cellStyle name="Comma 905" xfId="1145" xr:uid="{F7A34768-5DB3-44B0-A0D1-694C0D610F67}"/>
    <cellStyle name="Comma 905 2" xfId="2183" xr:uid="{71D3961A-06FC-4EF4-BA9D-A8C2A3051BD7}"/>
    <cellStyle name="Comma 905 2 2" xfId="4241" xr:uid="{C9D9A240-2519-4635-A9D5-74C758E7E938}"/>
    <cellStyle name="Comma 905 3" xfId="3211" xr:uid="{37CB60EB-0C76-48F9-A5CA-866C0E4F9E65}"/>
    <cellStyle name="Comma 905 4" xfId="5337" xr:uid="{63541C31-5187-4C05-B710-557CC27E3A18}"/>
    <cellStyle name="Comma 906" xfId="1146" xr:uid="{8DE6887D-82E4-4C85-885F-0B4CF669FBE5}"/>
    <cellStyle name="Comma 906 2" xfId="2184" xr:uid="{C63E31FB-F7D9-40C6-8C73-71019AEC41DE}"/>
    <cellStyle name="Comma 906 2 2" xfId="4242" xr:uid="{D993853C-58BA-499B-8F70-90FB29FFE8DD}"/>
    <cellStyle name="Comma 906 3" xfId="3212" xr:uid="{2800D4B1-F92C-499B-86EE-2B3BA7CED49A}"/>
    <cellStyle name="Comma 906 4" xfId="5338" xr:uid="{056C8D5B-E729-4863-878A-990E8898440A}"/>
    <cellStyle name="Comma 907" xfId="1147" xr:uid="{CC8F0A5B-7392-4C87-AF34-69116FFB8CA1}"/>
    <cellStyle name="Comma 907 2" xfId="2185" xr:uid="{99C802EB-D6AD-4BD0-AC74-E454472DA532}"/>
    <cellStyle name="Comma 907 2 2" xfId="4243" xr:uid="{558FB060-F818-4E16-B01A-5871F66E95D8}"/>
    <cellStyle name="Comma 907 3" xfId="3213" xr:uid="{3CEE9718-5E53-43B0-B34E-7F378A100A26}"/>
    <cellStyle name="Comma 907 4" xfId="5339" xr:uid="{EFC7CF37-57B8-4F1E-9575-4BA68E5520D3}"/>
    <cellStyle name="Comma 908" xfId="1148" xr:uid="{7AFAF6A0-9915-4B0F-BA1F-63459610C437}"/>
    <cellStyle name="Comma 908 2" xfId="2186" xr:uid="{C5997784-91FC-4931-9D6A-EDA95B2163BE}"/>
    <cellStyle name="Comma 908 2 2" xfId="4244" xr:uid="{A0068722-93ED-44CC-B18D-4A2731C60F91}"/>
    <cellStyle name="Comma 908 3" xfId="3214" xr:uid="{DD80FF9F-78DD-480A-B31D-0DE18CD22B4C}"/>
    <cellStyle name="Comma 908 4" xfId="5340" xr:uid="{BEB21D47-D7D7-4AB7-A486-DB0475EF2F0A}"/>
    <cellStyle name="Comma 909" xfId="1149" xr:uid="{AF43962F-CF7C-4B8C-9609-37F5D8E0986A}"/>
    <cellStyle name="Comma 909 2" xfId="2187" xr:uid="{42E740FF-D74E-4961-84A3-6F88674FDB41}"/>
    <cellStyle name="Comma 909 2 2" xfId="4245" xr:uid="{F7A50636-8D78-4CCB-B23C-D95A51AE5D30}"/>
    <cellStyle name="Comma 909 3" xfId="3215" xr:uid="{4E08A254-3AA2-4F62-9B50-630AB2EE7541}"/>
    <cellStyle name="Comma 909 4" xfId="5341" xr:uid="{E012A34A-04D5-491C-9279-E74635D5728A}"/>
    <cellStyle name="Comma 91" xfId="305" xr:uid="{079D1E42-628E-49CF-B2F9-D92C9F5B1FB9}"/>
    <cellStyle name="Comma 91 2" xfId="1369" xr:uid="{8357E2FB-1A45-4BE9-BEB7-7CF2F04F5126}"/>
    <cellStyle name="Comma 91 2 2" xfId="3427" xr:uid="{759A0D9E-4844-44AB-8173-02E5AC145AA3}"/>
    <cellStyle name="Comma 91 3" xfId="2397" xr:uid="{F2556B3C-A1F6-470E-ACA7-090426121CD1}"/>
    <cellStyle name="Comma 91 4" xfId="4523" xr:uid="{66EC97D7-4E30-4E93-8540-C4797B810503}"/>
    <cellStyle name="Comma 910" xfId="1150" xr:uid="{A0CCAAE1-F95C-47B4-AC54-53DA31C2798D}"/>
    <cellStyle name="Comma 910 2" xfId="2188" xr:uid="{12A0A762-9E3B-4941-852C-33C2745821B7}"/>
    <cellStyle name="Comma 910 2 2" xfId="4246" xr:uid="{BB9BB395-FB60-430E-A45B-BB281F492E32}"/>
    <cellStyle name="Comma 910 3" xfId="3216" xr:uid="{123BB10B-E5A2-4ED7-AA9D-C12ADAFA8981}"/>
    <cellStyle name="Comma 910 4" xfId="5342" xr:uid="{F119279D-73E3-464D-95B0-0208ED09C763}"/>
    <cellStyle name="Comma 911" xfId="1151" xr:uid="{58C1E42D-5A7B-4B49-93A4-BA8B06ADB16D}"/>
    <cellStyle name="Comma 911 2" xfId="2189" xr:uid="{7BB043AA-96CF-48BF-A014-3C170065CE2E}"/>
    <cellStyle name="Comma 911 2 2" xfId="4247" xr:uid="{3F89FD73-18AC-4B6E-A636-AB49ADE7F577}"/>
    <cellStyle name="Comma 911 3" xfId="3217" xr:uid="{4DDB102C-7C03-41DB-BBF0-E46ECAFF6E8A}"/>
    <cellStyle name="Comma 911 4" xfId="5343" xr:uid="{03C114FF-E77D-4A05-B475-454EF4B3C4F9}"/>
    <cellStyle name="Comma 912" xfId="1152" xr:uid="{88DD90D7-D175-4753-9F41-9636538C1375}"/>
    <cellStyle name="Comma 912 2" xfId="2190" xr:uid="{DCDCDDB9-B776-4618-9D2F-004A07F0303D}"/>
    <cellStyle name="Comma 912 2 2" xfId="4248" xr:uid="{6D80EAEB-B550-43A5-B654-436F338302FA}"/>
    <cellStyle name="Comma 912 3" xfId="3218" xr:uid="{8D770360-F856-4569-B483-CBE128DE2A7E}"/>
    <cellStyle name="Comma 912 4" xfId="5344" xr:uid="{13773074-E08D-45A7-ABF5-D9B9E8CFE215}"/>
    <cellStyle name="Comma 913" xfId="1153" xr:uid="{224BC121-2241-4627-8E9A-040A26464C0E}"/>
    <cellStyle name="Comma 913 2" xfId="2191" xr:uid="{7535C62E-5281-4BEF-A827-92EAFF7CF430}"/>
    <cellStyle name="Comma 913 2 2" xfId="4249" xr:uid="{8F0E7CCE-1524-420D-A751-7057C5735C69}"/>
    <cellStyle name="Comma 913 3" xfId="3219" xr:uid="{0AB51771-ACB3-441A-B5EB-F5192270D791}"/>
    <cellStyle name="Comma 913 4" xfId="5345" xr:uid="{AAFFF8A3-6F2B-4A76-BEB1-203600B65BC6}"/>
    <cellStyle name="Comma 914" xfId="1154" xr:uid="{3CFE376C-2663-4484-9020-21C4AAB3E1D1}"/>
    <cellStyle name="Comma 914 2" xfId="2192" xr:uid="{F1BD17DC-3850-43EB-8AA3-B250ECECCD6F}"/>
    <cellStyle name="Comma 914 2 2" xfId="4250" xr:uid="{ABE1C6B1-C8E2-45EE-971A-F6DC558065F0}"/>
    <cellStyle name="Comma 914 3" xfId="3220" xr:uid="{B4B94AC2-5064-43B3-B0EC-B31635DACD1B}"/>
    <cellStyle name="Comma 914 4" xfId="5346" xr:uid="{250E0484-BB02-4C2F-B8B5-5381CB10258D}"/>
    <cellStyle name="Comma 915" xfId="1155" xr:uid="{A17789F7-2CD7-426A-8F7E-48EFF7F5330E}"/>
    <cellStyle name="Comma 915 2" xfId="2193" xr:uid="{C2C17634-6425-4506-BAFD-5E40546C5C24}"/>
    <cellStyle name="Comma 915 2 2" xfId="4251" xr:uid="{FEA9FF0F-0159-4049-8A10-E0874002F0AB}"/>
    <cellStyle name="Comma 915 3" xfId="3221" xr:uid="{53397B12-F34F-4542-83A8-82600979DA41}"/>
    <cellStyle name="Comma 915 4" xfId="5347" xr:uid="{EB28F203-27DA-4EC9-AA51-71D25D952400}"/>
    <cellStyle name="Comma 916" xfId="1156" xr:uid="{5DCF5E75-710C-4B40-9B43-DE25A639A89D}"/>
    <cellStyle name="Comma 916 2" xfId="2194" xr:uid="{1CA8D6EE-A17C-4B41-B7EB-2C107CB79123}"/>
    <cellStyle name="Comma 916 2 2" xfId="4252" xr:uid="{D93CF31B-C754-446D-9787-9C5619E043E6}"/>
    <cellStyle name="Comma 916 3" xfId="3222" xr:uid="{241CD645-1A94-4FE8-8745-D2260BF04296}"/>
    <cellStyle name="Comma 916 4" xfId="5348" xr:uid="{1CFF3574-36F2-4691-B6D5-5B533FEC8700}"/>
    <cellStyle name="Comma 917" xfId="1157" xr:uid="{951F4E0B-97FB-4DE3-8ECF-DB28FE814640}"/>
    <cellStyle name="Comma 917 2" xfId="2195" xr:uid="{641140A4-16C7-479C-9C0A-650769FF103A}"/>
    <cellStyle name="Comma 917 2 2" xfId="4253" xr:uid="{3697CC5F-CB04-4ACC-9954-FCFB5DD54EFD}"/>
    <cellStyle name="Comma 917 3" xfId="3223" xr:uid="{8FA93574-3A9B-4066-96EF-E34C842C7DEF}"/>
    <cellStyle name="Comma 917 4" xfId="5349" xr:uid="{8B50FCA3-EA5C-47BD-81A9-D7C571280FF1}"/>
    <cellStyle name="Comma 918" xfId="1158" xr:uid="{6CFD5F50-6377-4881-A319-B94F06694029}"/>
    <cellStyle name="Comma 918 2" xfId="2196" xr:uid="{D102210D-645A-4C57-A7D8-9CEDB8AFF970}"/>
    <cellStyle name="Comma 918 2 2" xfId="4254" xr:uid="{4D013807-4C20-4FCC-B17B-14B81E7A5F10}"/>
    <cellStyle name="Comma 918 3" xfId="3224" xr:uid="{942C8C2A-AF64-499F-B7DD-D41C78BFD9D5}"/>
    <cellStyle name="Comma 918 4" xfId="5350" xr:uid="{2FE8FB0D-BF8C-4729-AC0E-DB004E84973B}"/>
    <cellStyle name="Comma 919" xfId="1159" xr:uid="{8C64E652-2830-415B-9D57-96B7A7954067}"/>
    <cellStyle name="Comma 919 2" xfId="2197" xr:uid="{0F772B7D-4804-4E9B-B5D0-2D1E3B29B380}"/>
    <cellStyle name="Comma 919 2 2" xfId="4255" xr:uid="{8E59FC5D-962F-455D-BCF1-D96934CA6D16}"/>
    <cellStyle name="Comma 919 3" xfId="3225" xr:uid="{B6A7F85B-89FB-4EB1-BD6B-58B1DFA4D4D0}"/>
    <cellStyle name="Comma 919 4" xfId="5351" xr:uid="{372782A8-6905-4954-8340-38456EEC1D67}"/>
    <cellStyle name="Comma 92" xfId="306" xr:uid="{719259CA-A972-4874-8374-B53117138154}"/>
    <cellStyle name="Comma 92 2" xfId="1370" xr:uid="{49CB2383-C2AA-4A62-A6F5-9F645DA145C9}"/>
    <cellStyle name="Comma 92 2 2" xfId="3428" xr:uid="{421713ED-6338-4D66-96BD-30619B6754CC}"/>
    <cellStyle name="Comma 92 3" xfId="2398" xr:uid="{40DBF799-1D24-4D34-AA37-3DD2EB807C99}"/>
    <cellStyle name="Comma 92 4" xfId="4524" xr:uid="{2CD2C8D7-95E9-42F0-ADA8-2826A3751E4C}"/>
    <cellStyle name="Comma 920" xfId="1160" xr:uid="{B80E0D96-45CB-40BC-BFDB-6F7D5C02DB3C}"/>
    <cellStyle name="Comma 920 2" xfId="2198" xr:uid="{8FDC965A-6F32-4097-A559-33CC13DD9648}"/>
    <cellStyle name="Comma 920 2 2" xfId="4256" xr:uid="{BFA211B9-8824-455C-9C2C-FCD880D0218C}"/>
    <cellStyle name="Comma 920 3" xfId="3226" xr:uid="{72BC79BC-55DE-46C0-9308-55498632D288}"/>
    <cellStyle name="Comma 920 4" xfId="5352" xr:uid="{2FE809D4-2FEB-4A1F-A6CD-6BBB743A6432}"/>
    <cellStyle name="Comma 921" xfId="1161" xr:uid="{C02250FC-ED67-43C6-ACEF-8DEC491082B0}"/>
    <cellStyle name="Comma 921 2" xfId="2199" xr:uid="{F43E0482-65C5-4C70-9B93-892572C4CCEA}"/>
    <cellStyle name="Comma 921 2 2" xfId="4257" xr:uid="{FF9A8F82-78C0-4170-92E2-6819F93C0B77}"/>
    <cellStyle name="Comma 921 3" xfId="3227" xr:uid="{AD6ED6EC-BDA9-4477-B9B7-886BBE5F8669}"/>
    <cellStyle name="Comma 921 4" xfId="5353" xr:uid="{75DFA970-C2E3-4857-8758-1B0FBF8EDA2D}"/>
    <cellStyle name="Comma 922" xfId="1162" xr:uid="{4017F18C-C7D0-4B5C-A8B5-074A99177674}"/>
    <cellStyle name="Comma 922 2" xfId="2200" xr:uid="{4E8720B7-82F8-4727-A014-BFC14EC57999}"/>
    <cellStyle name="Comma 922 2 2" xfId="4258" xr:uid="{394D7EAC-5B25-437F-95E6-C1724579D40D}"/>
    <cellStyle name="Comma 922 3" xfId="3228" xr:uid="{6C9AF215-70C5-4395-9CB0-0857140DCCBD}"/>
    <cellStyle name="Comma 922 4" xfId="5354" xr:uid="{018D05C4-7CDA-4BB1-AA1D-D6F5CEF8176B}"/>
    <cellStyle name="Comma 923" xfId="1163" xr:uid="{F29CC67F-5541-4C6A-BCC2-D9C681158627}"/>
    <cellStyle name="Comma 923 2" xfId="2201" xr:uid="{FBA61012-2BF8-477B-B49A-39C3E5DC0DC3}"/>
    <cellStyle name="Comma 923 2 2" xfId="4259" xr:uid="{F2797534-AC6B-4800-B72F-CAC212043B61}"/>
    <cellStyle name="Comma 923 3" xfId="3229" xr:uid="{042FD223-3DF3-436B-8CB1-B0F97419097E}"/>
    <cellStyle name="Comma 923 4" xfId="5355" xr:uid="{18C5543C-43EF-4DEA-8DA7-30283064273C}"/>
    <cellStyle name="Comma 924" xfId="1164" xr:uid="{D1D964AF-4C86-4009-9C84-029B12EE465A}"/>
    <cellStyle name="Comma 924 2" xfId="2202" xr:uid="{1FA52FB6-CBA4-4FC7-ADAA-E361A910B8BC}"/>
    <cellStyle name="Comma 924 2 2" xfId="4260" xr:uid="{394E0BC4-3FB4-4F32-AC20-7BE7A028529D}"/>
    <cellStyle name="Comma 924 3" xfId="3230" xr:uid="{93E2B80F-1ADC-484A-B88F-AC6F556C19D7}"/>
    <cellStyle name="Comma 924 4" xfId="5356" xr:uid="{C636B9C2-5F99-48AE-ACBE-9C7B75F11FE4}"/>
    <cellStyle name="Comma 925" xfId="1165" xr:uid="{CFCEF022-5DBC-4E84-B898-9346F51BB779}"/>
    <cellStyle name="Comma 925 2" xfId="2203" xr:uid="{0F54B139-4F2A-4416-B2A0-A69E556B6A83}"/>
    <cellStyle name="Comma 925 2 2" xfId="4261" xr:uid="{938F1A38-9C8B-4B37-BDDC-718E891D27B1}"/>
    <cellStyle name="Comma 925 3" xfId="3231" xr:uid="{F7FC1F21-F05C-4A30-B468-E2FFF2672D7F}"/>
    <cellStyle name="Comma 925 4" xfId="5357" xr:uid="{AA3693C1-A8B7-49F4-87C8-DFDBEDF4918C}"/>
    <cellStyle name="Comma 926" xfId="1166" xr:uid="{A1B4E320-4CD0-406D-8290-5E17615EB650}"/>
    <cellStyle name="Comma 926 2" xfId="2204" xr:uid="{A3CA031F-01F4-443F-A689-AAA80989373B}"/>
    <cellStyle name="Comma 926 2 2" xfId="4262" xr:uid="{66648787-A637-467C-B45B-E2527E99939F}"/>
    <cellStyle name="Comma 926 3" xfId="3232" xr:uid="{B52070F3-5293-4D24-9FF2-9C70441CCE65}"/>
    <cellStyle name="Comma 926 4" xfId="5358" xr:uid="{2FC28FD7-DF37-4436-B3FE-CDEEBAE2E90C}"/>
    <cellStyle name="Comma 927" xfId="1167" xr:uid="{94F3C32F-12AF-4037-8E73-9E58A1EB1BC5}"/>
    <cellStyle name="Comma 927 2" xfId="2205" xr:uid="{59E2E0DE-89AC-46CE-851E-FC1FE000EB37}"/>
    <cellStyle name="Comma 927 2 2" xfId="4263" xr:uid="{CDCB617C-70CD-4893-B435-5FDD84DB9FB0}"/>
    <cellStyle name="Comma 927 3" xfId="3233" xr:uid="{16A16A2F-A516-447E-8539-778B74283E72}"/>
    <cellStyle name="Comma 927 4" xfId="5359" xr:uid="{8542F3B8-BEDE-4091-BACC-A2A228ADD223}"/>
    <cellStyle name="Comma 928" xfId="1168" xr:uid="{2B920012-4F1C-416F-B189-0A77D9A59CA2}"/>
    <cellStyle name="Comma 928 2" xfId="2206" xr:uid="{F27277E4-D7FF-48E8-AEEB-6F272F648BE0}"/>
    <cellStyle name="Comma 928 2 2" xfId="4264" xr:uid="{42439928-4A5B-4D47-BEC4-BB12BF5AB2AD}"/>
    <cellStyle name="Comma 928 3" xfId="3234" xr:uid="{4813DBF7-E1B0-479C-9B9D-02C49186E4A8}"/>
    <cellStyle name="Comma 928 4" xfId="5360" xr:uid="{3430A04B-9F52-4DCE-8700-8BAB0772347C}"/>
    <cellStyle name="Comma 929" xfId="1169" xr:uid="{FF1A41F1-1789-404E-8708-B8A01DF7432F}"/>
    <cellStyle name="Comma 929 2" xfId="2207" xr:uid="{0A8DDEA5-DDCF-4643-ACDA-C01915FEBFB9}"/>
    <cellStyle name="Comma 929 2 2" xfId="4265" xr:uid="{F302BAA8-56F3-43F4-8D04-9ADFA85E7BEC}"/>
    <cellStyle name="Comma 929 3" xfId="3235" xr:uid="{E9A3A5A0-4540-44EE-9DF5-56BC64AE3DA1}"/>
    <cellStyle name="Comma 929 4" xfId="5361" xr:uid="{A7B6BBA6-17A1-42E1-82CC-8E9860DFFAD2}"/>
    <cellStyle name="Comma 93" xfId="307" xr:uid="{FA7B0CF3-F102-4C58-B083-673929D060A6}"/>
    <cellStyle name="Comma 93 2" xfId="1371" xr:uid="{3F63EE57-EEC3-4063-A1F7-46C3C3566FB7}"/>
    <cellStyle name="Comma 93 2 2" xfId="3429" xr:uid="{467AC940-F32F-4BCC-A905-D5C792F6E41E}"/>
    <cellStyle name="Comma 93 3" xfId="2399" xr:uid="{8E874835-9B2A-4C45-95BD-65AD4AACF284}"/>
    <cellStyle name="Comma 93 4" xfId="4525" xr:uid="{A7987454-B87F-47ED-8615-01441974FC50}"/>
    <cellStyle name="Comma 930" xfId="1170" xr:uid="{47700334-4D66-4AB3-B1D4-2754D479878D}"/>
    <cellStyle name="Comma 930 2" xfId="2208" xr:uid="{2BF3FA89-6C45-4877-AE52-A7224D7542B4}"/>
    <cellStyle name="Comma 930 2 2" xfId="4266" xr:uid="{202FC8DD-D6AD-4597-846D-55FDA78697A4}"/>
    <cellStyle name="Comma 930 3" xfId="3236" xr:uid="{CB105695-4BE7-4C32-AF90-33118821B204}"/>
    <cellStyle name="Comma 930 4" xfId="5362" xr:uid="{BCC2EB0F-802A-48E0-BDA4-DB184EC60DD9}"/>
    <cellStyle name="Comma 931" xfId="1171" xr:uid="{10C1B770-66F1-4A70-8734-335839184F27}"/>
    <cellStyle name="Comma 931 2" xfId="2209" xr:uid="{BD0DBF45-2F23-480E-A8D2-7BDD9929559D}"/>
    <cellStyle name="Comma 931 2 2" xfId="4267" xr:uid="{314A989E-3F27-4CAD-910F-944745EE28D9}"/>
    <cellStyle name="Comma 931 3" xfId="3237" xr:uid="{7A2A202A-5C49-4A4E-AE15-AC75AAB711DE}"/>
    <cellStyle name="Comma 931 4" xfId="5363" xr:uid="{4E422E87-076F-4DC6-B614-3720F1CD77B3}"/>
    <cellStyle name="Comma 932" xfId="1172" xr:uid="{2BF4C716-3390-44BB-A3E7-46AC6D9ADDC2}"/>
    <cellStyle name="Comma 932 2" xfId="2210" xr:uid="{7E043AD7-4F23-468E-851F-340C55542614}"/>
    <cellStyle name="Comma 932 2 2" xfId="4268" xr:uid="{D82F9343-8C4F-46EA-B38B-F25DD501CAEC}"/>
    <cellStyle name="Comma 932 3" xfId="3238" xr:uid="{FD4D6931-26AE-44FA-8F5F-5E709C4D8784}"/>
    <cellStyle name="Comma 932 4" xfId="5364" xr:uid="{AC86E431-BCEF-4E9B-A522-9946C4971767}"/>
    <cellStyle name="Comma 933" xfId="1173" xr:uid="{CC3900F8-7882-4656-825C-E576D77C3F2B}"/>
    <cellStyle name="Comma 933 2" xfId="2211" xr:uid="{11F0E670-C8A9-4557-B6EC-65929D678F70}"/>
    <cellStyle name="Comma 933 2 2" xfId="4269" xr:uid="{F8784ED3-769E-4791-8284-8520AE64D6C5}"/>
    <cellStyle name="Comma 933 3" xfId="3239" xr:uid="{26CB19AD-79C1-4FFF-AA0D-2F78F31B045C}"/>
    <cellStyle name="Comma 933 4" xfId="5365" xr:uid="{F9C6E9AF-0C08-435F-872D-CD8A295118C5}"/>
    <cellStyle name="Comma 934" xfId="1174" xr:uid="{2AFBF03B-391C-48FA-BA24-602217BEA2BC}"/>
    <cellStyle name="Comma 934 2" xfId="2212" xr:uid="{405BBC36-D4FF-4027-A91B-93CA1E073B8E}"/>
    <cellStyle name="Comma 934 2 2" xfId="4270" xr:uid="{D0AAA3A7-2FAD-46A6-A4EB-5A1CEA5347D2}"/>
    <cellStyle name="Comma 934 3" xfId="3240" xr:uid="{032D5F7F-5A1A-427C-A3A0-A642BDFCF6CB}"/>
    <cellStyle name="Comma 934 4" xfId="5366" xr:uid="{B43E9FDA-1535-4E44-9023-6EE1A40F8EB8}"/>
    <cellStyle name="Comma 935" xfId="1175" xr:uid="{2C46A837-E840-4964-B779-8684592D8C89}"/>
    <cellStyle name="Comma 935 2" xfId="2213" xr:uid="{2A055D3D-4A38-450F-BC71-073DF9F6DE07}"/>
    <cellStyle name="Comma 935 2 2" xfId="4271" xr:uid="{6DEC201B-EEC2-4032-BC91-687CD6130C35}"/>
    <cellStyle name="Comma 935 3" xfId="3241" xr:uid="{17A61D54-36CE-4C96-9601-0C1BD826C736}"/>
    <cellStyle name="Comma 935 4" xfId="5367" xr:uid="{603A0990-79B1-43EC-BA46-F6BD4F265AC2}"/>
    <cellStyle name="Comma 936" xfId="1176" xr:uid="{4EC6B0D1-D907-4C8D-87AD-F5BEE9051995}"/>
    <cellStyle name="Comma 936 2" xfId="2214" xr:uid="{FCD5CD3C-A04D-4A05-9CCF-8C9DE6845031}"/>
    <cellStyle name="Comma 936 2 2" xfId="4272" xr:uid="{BA4C6669-3BB1-4E33-87D8-817C01D3DD64}"/>
    <cellStyle name="Comma 936 3" xfId="3242" xr:uid="{5F576AF1-A463-4997-A4B8-523E7EF4637B}"/>
    <cellStyle name="Comma 936 4" xfId="5368" xr:uid="{875AB71B-4000-4A81-9BA4-8912F5EB1AAA}"/>
    <cellStyle name="Comma 937" xfId="1177" xr:uid="{94FD259F-7F2C-4278-AA26-16E580573BF1}"/>
    <cellStyle name="Comma 937 2" xfId="2215" xr:uid="{635BAC87-C02E-4409-A249-7E71C6C5FDE2}"/>
    <cellStyle name="Comma 937 2 2" xfId="4273" xr:uid="{53C1FF8C-C4FE-48EE-B332-77CB193FE1AA}"/>
    <cellStyle name="Comma 937 3" xfId="3243" xr:uid="{CF7C54F1-6FCB-4DC9-9E82-CC14EA34DFC3}"/>
    <cellStyle name="Comma 937 4" xfId="5369" xr:uid="{43D17890-7443-4CCD-89D4-C4972936AE19}"/>
    <cellStyle name="Comma 938" xfId="1178" xr:uid="{457075AB-3A45-426D-B5D2-B19B3A21164E}"/>
    <cellStyle name="Comma 938 2" xfId="2216" xr:uid="{56A3AD36-A4C9-4850-960D-56E9178695FA}"/>
    <cellStyle name="Comma 938 2 2" xfId="4274" xr:uid="{2CD1BCCF-7861-4D14-8223-81382DCD5E89}"/>
    <cellStyle name="Comma 938 3" xfId="3244" xr:uid="{E714FAA0-A241-431F-90B1-7F4924A05DA6}"/>
    <cellStyle name="Comma 938 4" xfId="5370" xr:uid="{FBDBD8A2-1067-49EA-AC25-BB3FD738D15C}"/>
    <cellStyle name="Comma 939" xfId="1179" xr:uid="{BA25C9F8-F4D9-482C-9337-D66055505596}"/>
    <cellStyle name="Comma 939 2" xfId="2217" xr:uid="{D0F281CB-58C1-4CA0-8A83-E016F140C087}"/>
    <cellStyle name="Comma 939 2 2" xfId="4275" xr:uid="{359D5491-861A-483A-9747-9FA6FAB38C37}"/>
    <cellStyle name="Comma 939 3" xfId="3245" xr:uid="{438D2FAB-8E31-42DA-B632-E8238EBAF6A6}"/>
    <cellStyle name="Comma 939 4" xfId="5371" xr:uid="{F7EFBE08-6F76-4AF7-8B8E-F7EBE6D4E5AE}"/>
    <cellStyle name="Comma 94" xfId="308" xr:uid="{687658B6-67FF-4160-805B-DD37621ABE1D}"/>
    <cellStyle name="Comma 94 2" xfId="1372" xr:uid="{6CDC8791-AF01-4225-B9BC-8185472DB5AA}"/>
    <cellStyle name="Comma 94 2 2" xfId="3430" xr:uid="{C0FD3820-FCF3-4CBC-B3EC-9FD57C920037}"/>
    <cellStyle name="Comma 94 3" xfId="2400" xr:uid="{51C99B75-CB0A-433B-BC9D-9D14A2391982}"/>
    <cellStyle name="Comma 94 4" xfId="4526" xr:uid="{2BBFFC01-4250-490E-A67C-8A618EE0DB51}"/>
    <cellStyle name="Comma 940" xfId="1180" xr:uid="{5CF87DD2-8121-4A9D-B22D-6EB10848A13C}"/>
    <cellStyle name="Comma 940 2" xfId="2218" xr:uid="{E274EE59-3EB6-4DE8-99BD-15B28262DDF5}"/>
    <cellStyle name="Comma 940 2 2" xfId="4276" xr:uid="{A99DC509-3942-47E7-BCF0-A413BE70CCFA}"/>
    <cellStyle name="Comma 940 3" xfId="3246" xr:uid="{AEDA126C-29C5-428C-BFE8-E21E71EC6281}"/>
    <cellStyle name="Comma 940 4" xfId="5372" xr:uid="{5BBC0D90-6833-4F6D-B390-E8DADCABA776}"/>
    <cellStyle name="Comma 941" xfId="1181" xr:uid="{75C2A582-70C2-465A-A23E-7C0A1A4E15AE}"/>
    <cellStyle name="Comma 941 2" xfId="2219" xr:uid="{1A9A93E7-7257-4B8B-9A33-6F385F992993}"/>
    <cellStyle name="Comma 941 2 2" xfId="4277" xr:uid="{9D854503-7525-4516-A5DF-750BFBEF12C4}"/>
    <cellStyle name="Comma 941 3" xfId="3247" xr:uid="{2ECB9EDD-DE3C-4B4F-B3E9-66DE32A570B7}"/>
    <cellStyle name="Comma 941 4" xfId="5373" xr:uid="{770812DC-0479-4EE2-AF57-64B1BD494789}"/>
    <cellStyle name="Comma 942" xfId="1182" xr:uid="{6394B946-DD47-4C44-9FE9-87B7A62ADDC2}"/>
    <cellStyle name="Comma 942 2" xfId="2220" xr:uid="{F2F546EB-9A20-4F6E-8BC7-7904AA9DFD11}"/>
    <cellStyle name="Comma 942 2 2" xfId="4278" xr:uid="{0F7C7DEB-B941-4ECC-8622-657BB3D612E1}"/>
    <cellStyle name="Comma 942 3" xfId="3248" xr:uid="{97CEACB7-7F78-4AB7-831A-1C9B184E03AA}"/>
    <cellStyle name="Comma 942 4" xfId="5374" xr:uid="{EAE257F3-5029-4FF0-B11A-FAB3E9BC60BC}"/>
    <cellStyle name="Comma 943" xfId="1183" xr:uid="{E775A35A-4712-45AC-ACDC-77435FB67C77}"/>
    <cellStyle name="Comma 943 2" xfId="2221" xr:uid="{1BC81FF6-45EE-4CEA-BCC4-224B80B5E8BA}"/>
    <cellStyle name="Comma 943 2 2" xfId="4279" xr:uid="{987CE858-C948-4696-A3AD-735769A88CFC}"/>
    <cellStyle name="Comma 943 3" xfId="3249" xr:uid="{0F632CEB-EF82-4FDA-98EC-07C31A54B2BF}"/>
    <cellStyle name="Comma 943 4" xfId="5375" xr:uid="{2906B484-6EF0-4B58-919E-6E4C97C6B497}"/>
    <cellStyle name="Comma 944" xfId="1184" xr:uid="{1F993B81-AB8F-40F3-8E75-0CC5C1B15282}"/>
    <cellStyle name="Comma 944 2" xfId="2222" xr:uid="{BA8686E3-9F08-4F21-A6F7-5AD262C52B08}"/>
    <cellStyle name="Comma 944 2 2" xfId="4280" xr:uid="{592E3134-5F9B-4627-B88A-CF9573DBE486}"/>
    <cellStyle name="Comma 944 3" xfId="3250" xr:uid="{629E7655-D0F1-453B-8339-3CEDE778BF6F}"/>
    <cellStyle name="Comma 944 4" xfId="5376" xr:uid="{12D2496F-5634-4B91-AC3F-D1FCEEAF7A47}"/>
    <cellStyle name="Comma 945" xfId="1185" xr:uid="{9CFE5651-5587-49D2-939A-A695C5DC7379}"/>
    <cellStyle name="Comma 945 2" xfId="2223" xr:uid="{E87F2753-1FEF-45CC-AF57-67FA6E20C390}"/>
    <cellStyle name="Comma 945 2 2" xfId="4281" xr:uid="{C58925F8-AC8F-4EF9-9FBE-DAA103A58801}"/>
    <cellStyle name="Comma 945 3" xfId="3251" xr:uid="{4EAEE90E-4FC4-4833-B43B-A7027817114F}"/>
    <cellStyle name="Comma 945 4" xfId="5377" xr:uid="{C4F5C81E-24E1-4FE2-A97D-2906CD06C914}"/>
    <cellStyle name="Comma 946" xfId="1186" xr:uid="{0CD3868A-90CC-465F-A272-FD8699C9E106}"/>
    <cellStyle name="Comma 946 2" xfId="2224" xr:uid="{70FD7349-0308-42C1-93E9-A71A3C102361}"/>
    <cellStyle name="Comma 946 2 2" xfId="4282" xr:uid="{6CE4F5D0-2121-4972-9006-02957F02319A}"/>
    <cellStyle name="Comma 946 3" xfId="3252" xr:uid="{2B767153-D461-43A4-81D3-89DF52C60611}"/>
    <cellStyle name="Comma 946 4" xfId="5378" xr:uid="{8EC32CAD-B510-40C2-AB67-9C62A3C0CD0D}"/>
    <cellStyle name="Comma 947" xfId="1187" xr:uid="{CF5045C6-9FDE-4332-A52C-A9C20FE6175B}"/>
    <cellStyle name="Comma 947 2" xfId="2225" xr:uid="{99B9FDE7-9794-4AF6-8B4A-94DB24590860}"/>
    <cellStyle name="Comma 947 2 2" xfId="4283" xr:uid="{DBA166AF-565C-4A12-87AA-F814F37F6BEA}"/>
    <cellStyle name="Comma 947 3" xfId="3253" xr:uid="{000AFE68-414C-4E98-A1A6-81CE315C1162}"/>
    <cellStyle name="Comma 947 4" xfId="5379" xr:uid="{FBE71268-D26C-49C1-99F6-4BD11D5AD8A1}"/>
    <cellStyle name="Comma 948" xfId="1188" xr:uid="{9794CCEF-9745-41A2-957B-4DFC2826F059}"/>
    <cellStyle name="Comma 948 2" xfId="2226" xr:uid="{82AF9BE6-4A01-43F8-85DC-D051EF6E3E4E}"/>
    <cellStyle name="Comma 948 2 2" xfId="4284" xr:uid="{AB4F4CE1-0354-4D74-B608-177082A9EB97}"/>
    <cellStyle name="Comma 948 3" xfId="3254" xr:uid="{75606C4A-75CD-4079-87A9-6E4AF9DABFC8}"/>
    <cellStyle name="Comma 948 4" xfId="5380" xr:uid="{F878BC44-A85F-44D2-8BD0-6F114B92B2E6}"/>
    <cellStyle name="Comma 949" xfId="1189" xr:uid="{531B4112-A4EE-4033-92F3-CC841EA7A3A6}"/>
    <cellStyle name="Comma 949 2" xfId="2227" xr:uid="{654DF9AF-1C00-478A-9AC5-EFE0A0CC02BA}"/>
    <cellStyle name="Comma 949 2 2" xfId="4285" xr:uid="{C2ADF918-7D4B-4E5F-A89D-84B1493719B8}"/>
    <cellStyle name="Comma 949 3" xfId="3255" xr:uid="{A5127D30-4457-455A-B3D1-353C55D1AF7B}"/>
    <cellStyle name="Comma 949 4" xfId="5381" xr:uid="{627D49F5-9D20-4B5B-B777-7D968DA750E9}"/>
    <cellStyle name="Comma 95" xfId="309" xr:uid="{D98D815D-11D2-4850-B18F-54FA94DAD15C}"/>
    <cellStyle name="Comma 95 2" xfId="1373" xr:uid="{C34DA4B1-B6D5-4273-9933-054DF7E98599}"/>
    <cellStyle name="Comma 95 2 2" xfId="3431" xr:uid="{B17FB7C6-ABF3-4F6A-8299-8C79B33F7C91}"/>
    <cellStyle name="Comma 95 3" xfId="2401" xr:uid="{03E40966-C39F-485C-93A8-5380853C2CEA}"/>
    <cellStyle name="Comma 95 4" xfId="4527" xr:uid="{B8BDFA47-F872-4576-883F-5A7CDF7F77B9}"/>
    <cellStyle name="Comma 950" xfId="1190" xr:uid="{C7BAA6FB-5944-4A20-8119-0F8B6A5DA3E2}"/>
    <cellStyle name="Comma 950 2" xfId="2228" xr:uid="{C6DE85F8-9967-4563-B356-5EBB6D4491C9}"/>
    <cellStyle name="Comma 950 2 2" xfId="4286" xr:uid="{41670178-4847-4F0B-B64D-D79B155759CF}"/>
    <cellStyle name="Comma 950 3" xfId="3256" xr:uid="{48F66B1D-4390-49B3-B3E8-B0921A86C8AF}"/>
    <cellStyle name="Comma 950 4" xfId="5382" xr:uid="{5BA81AAF-2B07-4EF0-9089-ED01B58E34BC}"/>
    <cellStyle name="Comma 951" xfId="1191" xr:uid="{3C4A85A3-2D3B-4AF7-BA34-1CE32396E4DF}"/>
    <cellStyle name="Comma 951 2" xfId="2229" xr:uid="{69B0130E-0D00-4445-B688-894F48759DF7}"/>
    <cellStyle name="Comma 951 2 2" xfId="4287" xr:uid="{5DEE74BF-C9C4-4227-B30A-2BFD7997A7EF}"/>
    <cellStyle name="Comma 951 3" xfId="3257" xr:uid="{CE2863C0-ED6B-48B1-B98F-4934C5AEB649}"/>
    <cellStyle name="Comma 951 4" xfId="5383" xr:uid="{0D43319F-B17E-4B0C-8406-FB5BCC4384B1}"/>
    <cellStyle name="Comma 952" xfId="1192" xr:uid="{F998E06B-D0E2-4CA6-A439-54A958C14038}"/>
    <cellStyle name="Comma 952 2" xfId="2230" xr:uid="{E7FE351B-01AD-42DE-8D7A-97CD24FF733B}"/>
    <cellStyle name="Comma 952 2 2" xfId="4288" xr:uid="{3A6AC5E6-8B19-4CA3-920E-CFAC6EC3B072}"/>
    <cellStyle name="Comma 952 3" xfId="3258" xr:uid="{E305B069-BFC2-4726-A88E-091B988E520F}"/>
    <cellStyle name="Comma 952 4" xfId="5384" xr:uid="{0E870EA2-BB74-48CF-9527-57CD0C9C0EE0}"/>
    <cellStyle name="Comma 953" xfId="1193" xr:uid="{5DCED212-18F1-4B8A-BE7A-0054D4921DF0}"/>
    <cellStyle name="Comma 953 2" xfId="2231" xr:uid="{92A70CC4-6D41-4CCC-861A-EDD4E87FC7C9}"/>
    <cellStyle name="Comma 953 2 2" xfId="4289" xr:uid="{3D8FF04F-B849-4C5F-8CC1-76DFCC4449C8}"/>
    <cellStyle name="Comma 953 3" xfId="3259" xr:uid="{934C59B7-4622-4BC4-9458-F6FF106F7CBD}"/>
    <cellStyle name="Comma 953 4" xfId="5385" xr:uid="{82432755-FCFE-477C-BA38-9DCC87261B0C}"/>
    <cellStyle name="Comma 954" xfId="1194" xr:uid="{52AEF082-DC35-410D-9DE7-CFC18A460884}"/>
    <cellStyle name="Comma 954 2" xfId="2232" xr:uid="{BA1930FD-F5E7-4428-BB07-98676A3B6399}"/>
    <cellStyle name="Comma 954 2 2" xfId="4290" xr:uid="{38BF863F-F09D-4A3F-A18F-C6DAFF942DFF}"/>
    <cellStyle name="Comma 954 3" xfId="3260" xr:uid="{D0457735-BAED-41F2-A965-40772422CEA2}"/>
    <cellStyle name="Comma 954 4" xfId="5386" xr:uid="{19E10778-B1DB-4334-B23D-B7E7AFA22B1F}"/>
    <cellStyle name="Comma 955" xfId="1195" xr:uid="{25CC2F2F-4D10-4670-82B0-94BE4596E9A0}"/>
    <cellStyle name="Comma 955 2" xfId="2233" xr:uid="{9014A93F-1744-468C-9979-53BFB57A8364}"/>
    <cellStyle name="Comma 955 2 2" xfId="4291" xr:uid="{A367D198-F0FB-4951-9FF1-DB7BA824580B}"/>
    <cellStyle name="Comma 955 3" xfId="3261" xr:uid="{4EBC3F55-FCF8-4C7D-8588-F07F346DEDA6}"/>
    <cellStyle name="Comma 955 4" xfId="5387" xr:uid="{F5172873-E387-4040-BD4B-C39B1109D323}"/>
    <cellStyle name="Comma 956" xfId="1196" xr:uid="{641E5279-DAE0-42EE-A220-1206FF768961}"/>
    <cellStyle name="Comma 956 2" xfId="2234" xr:uid="{8B644CDB-0F44-4F66-8F3D-53F7A1537F77}"/>
    <cellStyle name="Comma 956 2 2" xfId="4292" xr:uid="{F8CF0DAE-62E5-41CE-8CF2-4C1B5B25872A}"/>
    <cellStyle name="Comma 956 3" xfId="3262" xr:uid="{9A7376C7-E48D-4D28-8740-443ED213CEE4}"/>
    <cellStyle name="Comma 956 4" xfId="5388" xr:uid="{7D0FE181-7B62-4970-8DA4-DE4F3A138039}"/>
    <cellStyle name="Comma 957" xfId="1197" xr:uid="{DAA56BD0-13B1-4FEF-80EE-99982403507E}"/>
    <cellStyle name="Comma 957 2" xfId="2235" xr:uid="{C67B48EC-F720-408F-B500-41517BD1240B}"/>
    <cellStyle name="Comma 957 2 2" xfId="4293" xr:uid="{44994C99-40BA-4F20-A52A-49B0F4957255}"/>
    <cellStyle name="Comma 957 3" xfId="3263" xr:uid="{C1DFEDF8-23DD-4769-BF82-56159A33AD91}"/>
    <cellStyle name="Comma 957 4" xfId="5389" xr:uid="{DA378FB3-156C-4955-9605-6335388A6B24}"/>
    <cellStyle name="Comma 958" xfId="1198" xr:uid="{FB033A74-B9AF-4D41-8947-98CD00D7E366}"/>
    <cellStyle name="Comma 958 2" xfId="2236" xr:uid="{3C76E62E-A299-46BD-B906-929F7EE57391}"/>
    <cellStyle name="Comma 958 2 2" xfId="4294" xr:uid="{0506B32F-E3D3-4B80-AD28-C02CB0882CB4}"/>
    <cellStyle name="Comma 958 3" xfId="3264" xr:uid="{FC9A0FC1-C3E5-4166-B57E-E8A457764BAB}"/>
    <cellStyle name="Comma 958 4" xfId="5390" xr:uid="{AF172CD5-14E4-43D5-9692-F4FAB463BD23}"/>
    <cellStyle name="Comma 959" xfId="1199" xr:uid="{B816D53A-FB80-4B8A-B1FF-A7644C0C428F}"/>
    <cellStyle name="Comma 959 2" xfId="2237" xr:uid="{54115268-F0FB-4E69-900A-05D50AE7C126}"/>
    <cellStyle name="Comma 959 2 2" xfId="4295" xr:uid="{BD7A7288-FBEF-4A95-9084-636142F221FF}"/>
    <cellStyle name="Comma 959 3" xfId="3265" xr:uid="{95D68248-BAA5-4B9F-88F6-A25061E9B74D}"/>
    <cellStyle name="Comma 959 4" xfId="5391" xr:uid="{2B2B87AA-B95B-4DA7-AC54-5B3A7BB56BCD}"/>
    <cellStyle name="Comma 96" xfId="310" xr:uid="{CD86B641-A8F5-4622-9143-1284B7B2CDF5}"/>
    <cellStyle name="Comma 96 2" xfId="1374" xr:uid="{C04B2D15-8C4C-457C-BE20-7E9038323B0B}"/>
    <cellStyle name="Comma 96 2 2" xfId="3432" xr:uid="{353C72DD-EF19-47CE-A196-65A6CA8684E7}"/>
    <cellStyle name="Comma 96 3" xfId="2402" xr:uid="{FF027217-1C05-40E6-9961-EB47F7CAF898}"/>
    <cellStyle name="Comma 96 4" xfId="4528" xr:uid="{61D39C61-6C72-4CEE-B73E-475E713D24EF}"/>
    <cellStyle name="Comma 960" xfId="1200" xr:uid="{23225545-4887-42F4-8E4B-04368DFEBA2F}"/>
    <cellStyle name="Comma 960 2" xfId="2238" xr:uid="{2BEA2FF8-3B5F-453E-9793-62E3F2733D98}"/>
    <cellStyle name="Comma 960 2 2" xfId="4296" xr:uid="{029F6174-2406-47B3-A804-4C1F7D85BB84}"/>
    <cellStyle name="Comma 960 3" xfId="3266" xr:uid="{993919DF-394C-4DB4-8CA9-FA75D6B1FE39}"/>
    <cellStyle name="Comma 960 4" xfId="5392" xr:uid="{5D145691-3A26-42EF-A067-323E6DCA8921}"/>
    <cellStyle name="Comma 961" xfId="1201" xr:uid="{3250FBC2-A6E3-4F1A-9094-803A0F1FDCA8}"/>
    <cellStyle name="Comma 961 2" xfId="2239" xr:uid="{FB50C94D-84AF-481F-AF1E-CB21410346CC}"/>
    <cellStyle name="Comma 961 2 2" xfId="4297" xr:uid="{F752CE25-CDDC-4840-8775-7D7A0E4CC97A}"/>
    <cellStyle name="Comma 961 3" xfId="3267" xr:uid="{CB2D1A64-00D6-4760-8B16-6064BBF124F1}"/>
    <cellStyle name="Comma 961 4" xfId="5393" xr:uid="{2E013E0F-3662-42E6-B087-EB263D5BAC2D}"/>
    <cellStyle name="Comma 962" xfId="1202" xr:uid="{65887225-5046-401F-86BD-D9EF60958C5C}"/>
    <cellStyle name="Comma 962 2" xfId="2240" xr:uid="{31ED0034-FBB9-4C8D-96A1-7EED3D45BD01}"/>
    <cellStyle name="Comma 962 2 2" xfId="4298" xr:uid="{69A34A6C-FB38-4D80-AD4F-2CFB1F5ED96E}"/>
    <cellStyle name="Comma 962 3" xfId="3268" xr:uid="{9265B937-5A4E-4DF0-A0D0-1DD9EA0EFC83}"/>
    <cellStyle name="Comma 962 4" xfId="5394" xr:uid="{A8C39650-B955-4D96-8E9E-0332D2E07C77}"/>
    <cellStyle name="Comma 963" xfId="1203" xr:uid="{0F64BF4C-CB54-4BF5-AEB2-E4437202153E}"/>
    <cellStyle name="Comma 963 2" xfId="2241" xr:uid="{CA12894D-85B3-4BBA-A015-246E34CDA589}"/>
    <cellStyle name="Comma 963 2 2" xfId="4299" xr:uid="{1AC4939B-60BD-4EB2-A007-2ED6D5FEBFA9}"/>
    <cellStyle name="Comma 963 3" xfId="3269" xr:uid="{5192C0A1-55CF-4D97-843C-0F558574FF1E}"/>
    <cellStyle name="Comma 963 4" xfId="5395" xr:uid="{69A70D3B-094C-498C-8F2A-0E77D23CA6EB}"/>
    <cellStyle name="Comma 964" xfId="1204" xr:uid="{9B2C3B62-033C-49C4-A156-619C5FAE291D}"/>
    <cellStyle name="Comma 964 2" xfId="2242" xr:uid="{EBD175D8-CAD1-421C-AC30-2B23FADD8BEF}"/>
    <cellStyle name="Comma 964 2 2" xfId="4300" xr:uid="{5204F119-96DF-47A0-B7BF-CADFAEDF8352}"/>
    <cellStyle name="Comma 964 3" xfId="3270" xr:uid="{3EE354D2-8105-47BC-8B7E-89792178D4FA}"/>
    <cellStyle name="Comma 964 4" xfId="5396" xr:uid="{B241A3F2-E0B3-4334-9CBA-F8E22AD8720A}"/>
    <cellStyle name="Comma 965" xfId="1205" xr:uid="{B718FF9E-F31D-4F1E-85C7-2BB3CC3FA6F8}"/>
    <cellStyle name="Comma 965 2" xfId="2243" xr:uid="{3FDC64F3-C131-4E77-B5E0-46738ECA188F}"/>
    <cellStyle name="Comma 965 2 2" xfId="4301" xr:uid="{DBEAFA5D-D4EE-4750-A97A-E98670E6F05C}"/>
    <cellStyle name="Comma 965 3" xfId="3271" xr:uid="{5D0421B7-F0A3-49FE-836D-DE7B2621DE88}"/>
    <cellStyle name="Comma 965 4" xfId="5397" xr:uid="{26FA8E3B-DC6E-40EC-A60E-7913A226D833}"/>
    <cellStyle name="Comma 966" xfId="1206" xr:uid="{31888E55-6B9D-410F-835F-3262B4E42879}"/>
    <cellStyle name="Comma 966 2" xfId="2244" xr:uid="{FA52DF17-FA06-46E0-BD34-8F69A7353C0C}"/>
    <cellStyle name="Comma 966 2 2" xfId="4302" xr:uid="{60460DE9-39D9-4D62-96BC-3FC642A14D37}"/>
    <cellStyle name="Comma 966 3" xfId="3272" xr:uid="{F0862251-EBD2-4384-80D9-897D88E8D886}"/>
    <cellStyle name="Comma 966 4" xfId="5398" xr:uid="{94C0FCBB-C3CF-45F4-A3BF-6735951B4617}"/>
    <cellStyle name="Comma 967" xfId="1207" xr:uid="{8C415EA0-48C2-419D-8AFB-9F794930E322}"/>
    <cellStyle name="Comma 967 2" xfId="2245" xr:uid="{FCC09DE9-69E2-401A-8571-A7610A21A33E}"/>
    <cellStyle name="Comma 967 2 2" xfId="4303" xr:uid="{1A4E6EA4-29E1-4C32-BD4B-87C9F41C557B}"/>
    <cellStyle name="Comma 967 3" xfId="3273" xr:uid="{494049A0-5F8D-4613-BD2F-B9F7F2953692}"/>
    <cellStyle name="Comma 967 4" xfId="5399" xr:uid="{A071F717-3748-436F-9167-5A1049572765}"/>
    <cellStyle name="Comma 968" xfId="1208" xr:uid="{315CB885-B3A3-4A9B-9EA3-4939CB6C6B54}"/>
    <cellStyle name="Comma 968 2" xfId="2246" xr:uid="{C87A02B7-0E19-4D29-A680-66490B6E74AA}"/>
    <cellStyle name="Comma 968 2 2" xfId="4304" xr:uid="{343D8205-F9F9-496E-B7E1-57228C375477}"/>
    <cellStyle name="Comma 968 3" xfId="3274" xr:uid="{715B62D0-060D-46D2-A958-E5E09E4213A7}"/>
    <cellStyle name="Comma 968 4" xfId="5400" xr:uid="{EA7A1FE2-B508-4C51-BA82-F21CA4BF647A}"/>
    <cellStyle name="Comma 969" xfId="1209" xr:uid="{387DF333-D4C5-420C-ACE7-91DA4976353D}"/>
    <cellStyle name="Comma 969 2" xfId="2247" xr:uid="{FB574312-4665-4282-A295-9C2B55C497F4}"/>
    <cellStyle name="Comma 969 2 2" xfId="4305" xr:uid="{B45C56FD-D844-422D-8DAD-0C58E138F2C1}"/>
    <cellStyle name="Comma 969 3" xfId="3275" xr:uid="{277A1E26-5E88-4B5D-9B34-66BB0B09DF3C}"/>
    <cellStyle name="Comma 969 4" xfId="5401" xr:uid="{4D62D3EF-2E90-4CA9-AFBC-82607E9C9FDD}"/>
    <cellStyle name="Comma 97" xfId="311" xr:uid="{730615D5-9A11-4E2B-A027-E8CEC682D40F}"/>
    <cellStyle name="Comma 97 2" xfId="1375" xr:uid="{988651A0-2CAB-4114-B6C1-B312899C3398}"/>
    <cellStyle name="Comma 97 2 2" xfId="3433" xr:uid="{463C58C6-E548-40EF-A031-514AF736B3DF}"/>
    <cellStyle name="Comma 97 3" xfId="2403" xr:uid="{CD348C6A-2A4C-4E85-B5BA-FB2FC8E00718}"/>
    <cellStyle name="Comma 97 4" xfId="4529" xr:uid="{E2632C54-36C2-4DC1-ADD6-DC750D5B4602}"/>
    <cellStyle name="Comma 970" xfId="1210" xr:uid="{B5E155C9-FA2A-4ABD-8D4F-EC21002C0742}"/>
    <cellStyle name="Comma 970 2" xfId="2248" xr:uid="{8846E985-2589-42E4-8B2C-4936E9CE21CD}"/>
    <cellStyle name="Comma 970 2 2" xfId="4306" xr:uid="{58A49430-3415-489B-BD67-7006431EA38E}"/>
    <cellStyle name="Comma 970 3" xfId="3276" xr:uid="{E00C15E6-DEE4-44D3-AF16-25CE58A36704}"/>
    <cellStyle name="Comma 970 4" xfId="5402" xr:uid="{AC36B1BF-CBF9-4CEC-89B3-35565E61E254}"/>
    <cellStyle name="Comma 971" xfId="1211" xr:uid="{8EAC1E80-F07B-44F3-BBB1-28FE1AF11489}"/>
    <cellStyle name="Comma 971 2" xfId="2249" xr:uid="{07F4DF0A-5FAF-4598-908F-56ADA56683B7}"/>
    <cellStyle name="Comma 971 2 2" xfId="4307" xr:uid="{153D27B1-E4DC-48C7-9FFA-F7AD773C075B}"/>
    <cellStyle name="Comma 971 3" xfId="3277" xr:uid="{F3C31A4D-5A92-41CA-AB1B-A723A4133156}"/>
    <cellStyle name="Comma 971 4" xfId="5403" xr:uid="{46D0A58C-204A-4316-A2D7-19988473F9CA}"/>
    <cellStyle name="Comma 972" xfId="1212" xr:uid="{F2BD2263-E067-46BC-A597-9179F931C2FB}"/>
    <cellStyle name="Comma 972 2" xfId="2250" xr:uid="{1CBB578E-6A65-4AD1-A854-22B1DE379399}"/>
    <cellStyle name="Comma 972 2 2" xfId="4308" xr:uid="{E8055E10-5D32-4C13-AE21-75CA0131CCBB}"/>
    <cellStyle name="Comma 972 3" xfId="3278" xr:uid="{35DB3E28-6DCC-46B9-A3C3-29665DF52F71}"/>
    <cellStyle name="Comma 972 4" xfId="5404" xr:uid="{8F767A56-11B0-481F-9654-3A2A71CC63C4}"/>
    <cellStyle name="Comma 973" xfId="1213" xr:uid="{3CBBF81F-0E63-40F7-B004-C840B091C0F6}"/>
    <cellStyle name="Comma 973 2" xfId="2251" xr:uid="{297A001E-B047-49F6-AF4B-47CF92325218}"/>
    <cellStyle name="Comma 973 2 2" xfId="4309" xr:uid="{46BDC7D4-B0D4-4F59-B865-C0B9327F4AB5}"/>
    <cellStyle name="Comma 973 3" xfId="3279" xr:uid="{42C437F4-9D84-4415-A223-A237925ABF89}"/>
    <cellStyle name="Comma 973 4" xfId="5405" xr:uid="{CB1AE7CF-9721-43F2-8B58-F00D7B1F5171}"/>
    <cellStyle name="Comma 974" xfId="1214" xr:uid="{80B0A3A0-6C3A-4D0A-8AB8-8C06C5EDB78A}"/>
    <cellStyle name="Comma 974 2" xfId="2252" xr:uid="{B7600C6D-E021-4053-AF5F-BC83FE8B7D3E}"/>
    <cellStyle name="Comma 974 2 2" xfId="4310" xr:uid="{4A208CD5-FF6B-4C52-A7AA-BDF3995B0EA2}"/>
    <cellStyle name="Comma 974 3" xfId="3280" xr:uid="{0ACFC9C6-C122-4B77-9F96-CDB32641E2B3}"/>
    <cellStyle name="Comma 974 4" xfId="5406" xr:uid="{4D2E955C-10A2-4BB3-876F-6C1072995615}"/>
    <cellStyle name="Comma 975" xfId="1215" xr:uid="{09E2167B-0F53-496F-B83B-D14E9358E649}"/>
    <cellStyle name="Comma 975 2" xfId="2253" xr:uid="{5784BD7B-8297-46CB-B7FB-7DD8D2081536}"/>
    <cellStyle name="Comma 975 2 2" xfId="4311" xr:uid="{1424DA17-5001-4770-86FB-27236C63221D}"/>
    <cellStyle name="Comma 975 3" xfId="3281" xr:uid="{D6E7429E-74BA-4167-B3E8-C73B1AF42718}"/>
    <cellStyle name="Comma 975 4" xfId="5407" xr:uid="{A9B67A8E-EC1E-43B4-BD27-1B630C940B44}"/>
    <cellStyle name="Comma 976" xfId="1216" xr:uid="{04305622-AD15-48F5-8461-0502F1C0E38D}"/>
    <cellStyle name="Comma 976 2" xfId="2254" xr:uid="{09F72BDB-A4AE-412E-AA41-5E91BF02E413}"/>
    <cellStyle name="Comma 976 2 2" xfId="4312" xr:uid="{7C3B9926-B424-4DE9-995E-C9FF064E4F36}"/>
    <cellStyle name="Comma 976 3" xfId="3282" xr:uid="{20CC8A91-9BD8-403D-88EC-7DBFB1B7F001}"/>
    <cellStyle name="Comma 976 4" xfId="5408" xr:uid="{647D964B-A8D8-42EF-BFBB-1052DEABB499}"/>
    <cellStyle name="Comma 977" xfId="1217" xr:uid="{C4F943AE-2686-41FC-B662-1BBFCA56E22C}"/>
    <cellStyle name="Comma 977 2" xfId="2255" xr:uid="{82385BD3-68B8-4611-B106-3EA4AC21F02B}"/>
    <cellStyle name="Comma 977 2 2" xfId="4313" xr:uid="{161F4015-ED09-4302-915F-565D6CFDEB66}"/>
    <cellStyle name="Comma 977 3" xfId="3283" xr:uid="{8C139476-B68D-4514-B09C-89A79A98B5FC}"/>
    <cellStyle name="Comma 977 4" xfId="5409" xr:uid="{3871CD35-2B35-4F0E-982B-0E23BB4C5FF6}"/>
    <cellStyle name="Comma 978" xfId="1218" xr:uid="{66C62767-9605-4443-BCCB-F2804FB70EC3}"/>
    <cellStyle name="Comma 978 2" xfId="2256" xr:uid="{63C42075-BDE6-4993-B3A0-939171B73567}"/>
    <cellStyle name="Comma 978 2 2" xfId="4314" xr:uid="{0D792B02-E120-41AC-97A3-D23B99F02812}"/>
    <cellStyle name="Comma 978 3" xfId="3284" xr:uid="{652770DC-ACBB-4613-8B66-1E35EEB15380}"/>
    <cellStyle name="Comma 978 4" xfId="5410" xr:uid="{7806DD31-8964-414D-9F9B-28591F12877E}"/>
    <cellStyle name="Comma 979" xfId="1219" xr:uid="{B9B87945-91C3-4603-BF9B-4523B5F631C9}"/>
    <cellStyle name="Comma 979 2" xfId="2257" xr:uid="{66EE89C8-BCF3-429F-9E5D-71A47C105B58}"/>
    <cellStyle name="Comma 979 2 2" xfId="4315" xr:uid="{02EF9221-A943-416D-B362-3A9177BFDAC3}"/>
    <cellStyle name="Comma 979 3" xfId="3285" xr:uid="{672687EF-6CDC-45A7-ACF2-6730CDF35CEC}"/>
    <cellStyle name="Comma 979 4" xfId="5411" xr:uid="{2865038F-F893-4248-9C71-BAC5E9964009}"/>
    <cellStyle name="Comma 98" xfId="312" xr:uid="{43ED0963-DE8B-4B32-BF0E-E9BA9488A156}"/>
    <cellStyle name="Comma 98 2" xfId="1376" xr:uid="{E9D414BF-7BE7-4D43-9FBE-BEB706A91EC6}"/>
    <cellStyle name="Comma 98 2 2" xfId="3434" xr:uid="{59A5CFF9-E493-431D-8772-E93C16304094}"/>
    <cellStyle name="Comma 98 3" xfId="2404" xr:uid="{CCB4D262-D2E6-446E-8B9F-B4C07B916554}"/>
    <cellStyle name="Comma 98 4" xfId="4530" xr:uid="{7F983B73-D9A0-4E6A-9835-11216F9DCBB9}"/>
    <cellStyle name="Comma 980" xfId="1220" xr:uid="{9DF6E451-2101-4875-928B-6B4D9D3B43DB}"/>
    <cellStyle name="Comma 980 2" xfId="2258" xr:uid="{0EB82DD1-034F-4C6F-9644-6472E93D0F98}"/>
    <cellStyle name="Comma 980 2 2" xfId="4316" xr:uid="{4B4CB4EA-2B1F-4290-822F-A4E865DFB291}"/>
    <cellStyle name="Comma 980 3" xfId="3286" xr:uid="{CFBDE56B-53F6-407A-B3D7-1FB93B10C22A}"/>
    <cellStyle name="Comma 980 4" xfId="5412" xr:uid="{776BECF6-2864-4131-A4B0-E55222684644}"/>
    <cellStyle name="Comma 981" xfId="1221" xr:uid="{D4D5991E-A6EE-4C4E-80CC-53036801F7CD}"/>
    <cellStyle name="Comma 981 2" xfId="2259" xr:uid="{AA219770-5C8E-4DDE-A4F0-E59A709A3315}"/>
    <cellStyle name="Comma 981 2 2" xfId="4317" xr:uid="{75049718-419A-47BD-BBDA-EF9C26B424CC}"/>
    <cellStyle name="Comma 981 3" xfId="3287" xr:uid="{047A0674-7286-4907-A693-6893BAFE5495}"/>
    <cellStyle name="Comma 981 4" xfId="5413" xr:uid="{43CA5944-2139-491A-92F8-5A5CD7A18ABF}"/>
    <cellStyle name="Comma 982" xfId="1222" xr:uid="{F8DDC142-12F4-40B9-A1CA-22C2CB8ACBF2}"/>
    <cellStyle name="Comma 982 2" xfId="2260" xr:uid="{51421E3B-93BE-4740-A7AF-D9F7DC7FAA7E}"/>
    <cellStyle name="Comma 982 2 2" xfId="4318" xr:uid="{5F83FF4E-2535-4972-8F87-60043E689589}"/>
    <cellStyle name="Comma 982 3" xfId="3288" xr:uid="{F957D613-7746-4431-93C1-7EE66A1AE36C}"/>
    <cellStyle name="Comma 982 4" xfId="5414" xr:uid="{9F981549-0D9C-4EB6-A6B6-A59D1825EB02}"/>
    <cellStyle name="Comma 983" xfId="1223" xr:uid="{BF82384E-885E-4B82-87A9-81AEC6F32B24}"/>
    <cellStyle name="Comma 983 2" xfId="2261" xr:uid="{2C14A2F6-69BA-44EB-AD1E-CD6844508074}"/>
    <cellStyle name="Comma 983 2 2" xfId="4319" xr:uid="{41B7AE62-3628-49E7-A283-9FCB7DD27E1D}"/>
    <cellStyle name="Comma 983 3" xfId="3289" xr:uid="{9CB9BA4C-A00F-4180-8B81-FA3B8E26A857}"/>
    <cellStyle name="Comma 983 4" xfId="5415" xr:uid="{8DF99A7A-0619-440F-B903-790739CF039A}"/>
    <cellStyle name="Comma 984" xfId="1224" xr:uid="{87B7611C-15BE-4CB4-81F9-E5F615BE25EB}"/>
    <cellStyle name="Comma 984 2" xfId="2262" xr:uid="{37752F03-554D-4420-94E6-70415E015296}"/>
    <cellStyle name="Comma 984 2 2" xfId="4320" xr:uid="{E1CFACDD-79BC-466C-8A95-7C79BC56109D}"/>
    <cellStyle name="Comma 984 3" xfId="3290" xr:uid="{4648B2D1-904E-4FD1-A5F2-C4A9D58C42FF}"/>
    <cellStyle name="Comma 984 4" xfId="5416" xr:uid="{B0FADA91-F1B6-494B-ACF0-798646635AE4}"/>
    <cellStyle name="Comma 985" xfId="1225" xr:uid="{61ABBB55-F81C-46AF-86E6-ABD56070A81E}"/>
    <cellStyle name="Comma 985 2" xfId="2263" xr:uid="{F5AACA8F-9C5D-4AF7-A351-F12C43440045}"/>
    <cellStyle name="Comma 985 2 2" xfId="4321" xr:uid="{6BAB1F92-D779-4146-AFB6-C339A2983A8B}"/>
    <cellStyle name="Comma 985 3" xfId="3291" xr:uid="{5EF9F932-6B85-4516-88B1-9B1775ADBDA8}"/>
    <cellStyle name="Comma 985 4" xfId="5417" xr:uid="{F5B82ABE-4E83-4069-8DC2-E6CADBA07E17}"/>
    <cellStyle name="Comma 986" xfId="1226" xr:uid="{F696B58F-99D8-4494-8BB4-DC9ED244D438}"/>
    <cellStyle name="Comma 986 2" xfId="2264" xr:uid="{13350CED-02DE-420B-AF3A-70CED7C6C5E4}"/>
    <cellStyle name="Comma 986 2 2" xfId="4322" xr:uid="{0131C7C6-E31B-4A87-9E79-6903F725B814}"/>
    <cellStyle name="Comma 986 3" xfId="3292" xr:uid="{A2C872CF-0D27-4FD9-B704-B09A7958C1D8}"/>
    <cellStyle name="Comma 986 4" xfId="5418" xr:uid="{A46A9C3D-4897-42DA-99E6-391150227F79}"/>
    <cellStyle name="Comma 987" xfId="1227" xr:uid="{16AB7FA5-BFD3-4842-A895-5B1476014E65}"/>
    <cellStyle name="Comma 987 2" xfId="2265" xr:uid="{2C598F26-B32B-4008-AD39-6C74C471F368}"/>
    <cellStyle name="Comma 987 2 2" xfId="4323" xr:uid="{3D3D1247-588B-4F64-B72D-684BF7241BC9}"/>
    <cellStyle name="Comma 987 3" xfId="3293" xr:uid="{804CB876-8DE8-4B57-8FCD-68A35CE29609}"/>
    <cellStyle name="Comma 987 4" xfId="5419" xr:uid="{4330B5B8-E133-4519-A3CA-8DDF636A1BD9}"/>
    <cellStyle name="Comma 988" xfId="1228" xr:uid="{841719F4-3FF4-4B75-8D66-5146202DB81E}"/>
    <cellStyle name="Comma 988 2" xfId="2266" xr:uid="{BE45898E-697F-464A-BD9D-52E6DB8B572B}"/>
    <cellStyle name="Comma 988 2 2" xfId="4324" xr:uid="{8F5045BC-E821-4303-BF09-6DB6C9653C8D}"/>
    <cellStyle name="Comma 988 3" xfId="3294" xr:uid="{872C6370-560A-4638-80D8-0A2FBC99E071}"/>
    <cellStyle name="Comma 988 4" xfId="5420" xr:uid="{9FFB9993-D1EE-4DAA-A3C0-64E2FAAE1DED}"/>
    <cellStyle name="Comma 989" xfId="1230" xr:uid="{8FCC7E59-803E-41DC-ACF4-E01ACA5F0376}"/>
    <cellStyle name="Comma 989 2" xfId="2267" xr:uid="{2366227E-76D2-4DEC-B80F-C3F9867304AF}"/>
    <cellStyle name="Comma 989 2 2" xfId="4325" xr:uid="{D3DAFDDA-9FEC-4F96-A80A-CC5729BD9164}"/>
    <cellStyle name="Comma 989 3" xfId="3295" xr:uid="{89BDEFB9-01BC-4976-B286-3C16B4FAA066}"/>
    <cellStyle name="Comma 989 4" xfId="5421" xr:uid="{24949375-7373-4917-A11E-A28C7C79F3C8}"/>
    <cellStyle name="Comma 99" xfId="313" xr:uid="{201E4FA9-0BDB-4047-B072-8030200610B1}"/>
    <cellStyle name="Comma 99 2" xfId="1377" xr:uid="{DC8890A1-1CB6-4F7B-B01A-9CACB62D3E31}"/>
    <cellStyle name="Comma 99 2 2" xfId="3435" xr:uid="{1C880559-C095-408B-8598-F041F80354D1}"/>
    <cellStyle name="Comma 99 3" xfId="2405" xr:uid="{E89623A2-8BE4-4D31-BB1B-3803C06D218C}"/>
    <cellStyle name="Comma 99 4" xfId="4531" xr:uid="{2B265AE9-8272-459E-AB5F-22B0E57E1FFA}"/>
    <cellStyle name="Comma 990" xfId="1232" xr:uid="{4A012C29-FFA8-4080-97AA-728CAE116209}"/>
    <cellStyle name="Comma 990 2" xfId="2268" xr:uid="{0D293117-4C6F-45CB-8ED9-E45AD6D77E26}"/>
    <cellStyle name="Comma 990 2 2" xfId="4326" xr:uid="{622667C2-561F-4CCB-B4B2-38ACAAD63797}"/>
    <cellStyle name="Comma 990 3" xfId="3296" xr:uid="{D3EE5822-94D1-4772-869F-8354583EB241}"/>
    <cellStyle name="Comma 990 4" xfId="5422" xr:uid="{D9E685E6-4281-4E52-A40B-11B89FC3093B}"/>
    <cellStyle name="Comma 991" xfId="1234" xr:uid="{773C00B8-3073-4621-81F3-60F4021F7766}"/>
    <cellStyle name="Comma 991 2" xfId="2269" xr:uid="{34B06CEE-3927-4075-8186-40D15360743B}"/>
    <cellStyle name="Comma 991 2 2" xfId="4327" xr:uid="{18A45159-8E57-4A1F-AA70-E702453B56A5}"/>
    <cellStyle name="Comma 991 3" xfId="3297" xr:uid="{B024716C-1BDA-47E5-98FD-11D4D9FA21CC}"/>
    <cellStyle name="Comma 991 4" xfId="5423" xr:uid="{91F3ED3B-C516-4FD9-8333-AAC3F5ED9D3C}"/>
    <cellStyle name="Comma 992" xfId="1236" xr:uid="{05415D19-2112-4098-A2EF-C13509AE3375}"/>
    <cellStyle name="Comma 992 2" xfId="2270" xr:uid="{F34AB822-7909-474D-82D1-B4D47EC60A4E}"/>
    <cellStyle name="Comma 992 2 2" xfId="4328" xr:uid="{92B1299A-C78F-4EA6-BDD3-CAD8B240EC21}"/>
    <cellStyle name="Comma 992 3" xfId="3298" xr:uid="{6B98B0D9-65FC-4E02-8BB6-FCC3C49CFBB6}"/>
    <cellStyle name="Comma 992 4" xfId="5424" xr:uid="{37E57D50-A75E-4AC8-9CB5-85FB0B05AE52}"/>
    <cellStyle name="Comma 993" xfId="1238" xr:uid="{38AA1DAB-21F8-43D7-A930-B81CEA8D1B24}"/>
    <cellStyle name="Comma 993 2" xfId="2271" xr:uid="{3AA34257-8C65-4DF6-A999-5692C18DB32A}"/>
    <cellStyle name="Comma 993 2 2" xfId="4329" xr:uid="{A0494B45-43B4-4B2E-BCF1-E806421F581A}"/>
    <cellStyle name="Comma 993 3" xfId="3299" xr:uid="{A5A280F8-4889-4D36-821B-8F5000B0CFEE}"/>
    <cellStyle name="Comma 993 4" xfId="5425" xr:uid="{66674814-05F0-496D-AE46-00F8CBA3E536}"/>
    <cellStyle name="Comma 994" xfId="1239" xr:uid="{06A9BBD8-2741-40B4-9989-54DA27CF092A}"/>
    <cellStyle name="Comma 994 2" xfId="2272" xr:uid="{D18E1DC6-F672-4524-AE01-BE4F39D1DCDA}"/>
    <cellStyle name="Comma 994 2 2" xfId="4330" xr:uid="{7D2E8CC2-6583-46C5-8A92-6FECC3459742}"/>
    <cellStyle name="Comma 994 3" xfId="3300" xr:uid="{27BB52FE-DF16-4ABE-B387-45FD93DBA005}"/>
    <cellStyle name="Comma 994 4" xfId="5426" xr:uid="{0D8C5F28-B203-45DE-BA6C-B60F9763CB61}"/>
    <cellStyle name="Comma 995" xfId="1242" xr:uid="{D51EC0AB-8D09-4D1E-8EFE-DAB998B31C17}"/>
    <cellStyle name="Comma 995 2" xfId="2273" xr:uid="{6966AF1C-371B-475A-910E-99ED0072FB77}"/>
    <cellStyle name="Comma 995 2 2" xfId="4331" xr:uid="{BFA90685-1C8D-476C-BAD0-15553CBE3F73}"/>
    <cellStyle name="Comma 995 3" xfId="3301" xr:uid="{65BC7402-8737-4E1D-8DAA-8341E7C91063}"/>
    <cellStyle name="Comma 995 4" xfId="5427" xr:uid="{7E1A7F67-AB48-432B-9DC8-093CAAB57D22}"/>
    <cellStyle name="Comma 996" xfId="1244" xr:uid="{30EFFF73-2DC7-4311-A84E-46D89C2AD8B4}"/>
    <cellStyle name="Comma 996 2" xfId="2274" xr:uid="{A3FEC1A3-ED58-48A5-B576-51DD43678496}"/>
    <cellStyle name="Comma 996 2 2" xfId="4332" xr:uid="{C5EC8F95-D53E-41EC-A33F-9256186D233E}"/>
    <cellStyle name="Comma 996 3" xfId="3302" xr:uid="{53230806-4B18-40CF-9EC8-5AAE5B20E2DA}"/>
    <cellStyle name="Comma 996 4" xfId="5428" xr:uid="{9C467A77-2962-4F1E-A2A9-3EE819C8B580}"/>
    <cellStyle name="Comma 997" xfId="1245" xr:uid="{41DAD154-C8C6-4549-9F22-B89ABA6E1EBE}"/>
    <cellStyle name="Comma 997 2" xfId="2275" xr:uid="{D0307C78-8A08-45DC-922A-0EB3217D551F}"/>
    <cellStyle name="Comma 997 2 2" xfId="4333" xr:uid="{19748D8F-BC75-4BF4-8370-4B40CC7FFBD9}"/>
    <cellStyle name="Comma 997 3" xfId="3303" xr:uid="{C0190CE3-27C0-46F9-934B-94215C062450}"/>
    <cellStyle name="Comma 997 4" xfId="5429" xr:uid="{AC1754C0-F08D-4F16-81E2-447A09FA62CC}"/>
    <cellStyle name="Comma 998" xfId="1246" xr:uid="{39587E16-AAF2-49A7-8A53-6C6D075AC1C5}"/>
    <cellStyle name="Comma 998 2" xfId="2276" xr:uid="{A6B8DF47-CDFE-4B75-961F-B6EE5C62ACD1}"/>
    <cellStyle name="Comma 998 2 2" xfId="4334" xr:uid="{7B69611D-8756-4ECA-98C6-5B728FDB1FE0}"/>
    <cellStyle name="Comma 998 3" xfId="3304" xr:uid="{B910F37F-2338-4480-BD23-D2FB37CB4D6C}"/>
    <cellStyle name="Comma 998 4" xfId="5430" xr:uid="{4759EB24-1467-4CFD-A6AF-7C3706047957}"/>
    <cellStyle name="Comma 999" xfId="1247" xr:uid="{2434AB7A-27C0-4E21-9A01-30DAB9A57293}"/>
    <cellStyle name="Comma 999 2" xfId="2277" xr:uid="{76E5692C-56B2-4F7D-B6AB-4F1A26E18751}"/>
    <cellStyle name="Comma 999 2 2" xfId="4335" xr:uid="{9A4E1CD1-5AD9-4118-8A6B-A6C39D250E75}"/>
    <cellStyle name="Comma 999 3" xfId="3305" xr:uid="{CB218D1C-8714-4BE0-9F5C-C8E98BA22B84}"/>
    <cellStyle name="Comma 999 4" xfId="5431" xr:uid="{67BFC789-DF78-4F6E-946D-C9ACCFD0DDC1}"/>
    <cellStyle name="Comma0" xfId="76" xr:uid="{6E799D24-F531-45BD-8CF9-30C1405FC385}"/>
    <cellStyle name="Company" xfId="77" xr:uid="{9A652823-2DB7-4DCD-AE10-5011F0369CB2}"/>
    <cellStyle name="Crystal Report Data" xfId="78" xr:uid="{C0855377-C586-4900-8853-859A17429977}"/>
    <cellStyle name="Crystal Report Field" xfId="79" xr:uid="{0DC414D8-0BDE-4A9A-9660-31F5950D266A}"/>
    <cellStyle name="Currency0" xfId="80" xr:uid="{00A0503A-70D9-4FFB-98AF-EC0984913EAB}"/>
    <cellStyle name="CutHike" xfId="81" xr:uid="{6EF705EB-2515-4D0A-8157-5AC3A6BD8547}"/>
    <cellStyle name="Data1" xfId="82" xr:uid="{10D4BCB7-7C3F-47B1-B955-661509B5A6BC}"/>
    <cellStyle name="Data2" xfId="83" xr:uid="{B4C7A2FB-E81F-49A0-B81F-A59EF76975E6}"/>
    <cellStyle name="Date" xfId="84" xr:uid="{3EFFD2D6-ADD5-450E-8C9C-B16AFF6CB1C7}"/>
    <cellStyle name="Dezimal [0]_RESULTS" xfId="85" xr:uid="{9C2DD864-CABB-463E-B710-A0B3962B3461}"/>
    <cellStyle name="Dezimal_RESULTS" xfId="86" xr:uid="{C6EB6EB0-207A-48B8-8918-79DB8458D798}"/>
    <cellStyle name="Ênfase1" xfId="4392" xr:uid="{33B2A972-6C2E-4C63-8F88-097B96C80445}"/>
    <cellStyle name="Ênfase2" xfId="4393" xr:uid="{D1603CFF-2641-4C14-938F-E270ABEC53A0}"/>
    <cellStyle name="Ênfase3" xfId="4394" xr:uid="{6EC9ABCA-39CB-4220-8788-788A1EA3D7E4}"/>
    <cellStyle name="Ênfase4" xfId="4395" xr:uid="{F7D8D937-17FD-4B51-A471-32FB0FDDC381}"/>
    <cellStyle name="Ênfase5" xfId="4396" xr:uid="{6548B764-EF7D-4E87-AC40-BEF6884B0658}"/>
    <cellStyle name="Ênfase6" xfId="4397" xr:uid="{CCE33A77-A062-4009-97F4-18B5AB2E3708}"/>
    <cellStyle name="Entrada" xfId="7" xr:uid="{2B5746E3-4DF1-49E0-9306-DFD6322582B5}"/>
    <cellStyle name="Entrada 2" xfId="4398" xr:uid="{35D9E639-F676-4A02-AD51-ABA1B44C4447}"/>
    <cellStyle name="Estilo 1" xfId="93" xr:uid="{C2F3D50A-6F78-4404-953E-C32456C35573}"/>
    <cellStyle name="Euro" xfId="94" xr:uid="{911BCACF-3DAA-492D-AABD-2FBB1DAD6279}"/>
    <cellStyle name="Explanatory Text" xfId="179" builtinId="53" customBuiltin="1"/>
    <cellStyle name="Explanatory Text 2" xfId="95" xr:uid="{0FF7D198-63A7-452C-96CF-61E4EA7EE8B1}"/>
    <cellStyle name="Fixed" xfId="96" xr:uid="{2E30ABCF-4F2B-4DA5-A8A8-872D8235B28F}"/>
    <cellStyle name="Footnote" xfId="97" xr:uid="{8F27072C-532C-44BA-8F97-2DD375D753CC}"/>
    <cellStyle name="Good" xfId="4358" builtinId="26" customBuiltin="1"/>
    <cellStyle name="Good 2" xfId="98" xr:uid="{2216409F-0C9E-45BD-BA6A-C9363901608F}"/>
    <cellStyle name="GWN Table Body" xfId="99" xr:uid="{F043E6B5-6C9E-46C1-8022-C30FAA1582AA}"/>
    <cellStyle name="GWN Table Header" xfId="100" xr:uid="{61E7310C-248A-4C1A-A450-B7D509C76C0D}"/>
    <cellStyle name="GWN Table Left Header" xfId="101" xr:uid="{528F47AC-6D44-4D40-A0EB-117E1394B775}"/>
    <cellStyle name="GWN Table Note" xfId="102" xr:uid="{4206F02C-495B-40C4-ABB4-A8F5E01B5781}"/>
    <cellStyle name="GWN Table Title" xfId="103" xr:uid="{22956D83-0CCE-42A0-83E3-639DF35F65D4}"/>
    <cellStyle name="Heading 1" xfId="184" builtinId="16" customBuiltin="1"/>
    <cellStyle name="Heading 1 2" xfId="104" xr:uid="{65F8B756-147A-45F9-9501-CD5489F5E747}"/>
    <cellStyle name="Heading 2" xfId="185" builtinId="17" customBuiltin="1"/>
    <cellStyle name="Heading 2 2" xfId="105" xr:uid="{9681122F-D263-4883-A9D5-4471E84B657E}"/>
    <cellStyle name="Heading 3" xfId="186" builtinId="18" customBuiltin="1"/>
    <cellStyle name="Heading 3 2" xfId="106" xr:uid="{626B0324-0851-4236-97C5-2E954B1FB70A}"/>
    <cellStyle name="Heading 4" xfId="187" builtinId="19" customBuiltin="1"/>
    <cellStyle name="Heading 4 2" xfId="107" xr:uid="{092B0FB6-FF47-42CD-9F17-A3329C007FFC}"/>
    <cellStyle name="Hyperlink 2" xfId="108" xr:uid="{698FF00C-77F1-4CF0-AE5B-8366C85289F1}"/>
    <cellStyle name="Incorreto" xfId="109" xr:uid="{1BF29C57-6398-4691-9B46-CB443F9B37C0}"/>
    <cellStyle name="Input" xfId="4359" builtinId="20" customBuiltin="1"/>
    <cellStyle name="Input 2" xfId="110" xr:uid="{021FB9AE-846D-4933-B5AC-2E95EA6E3F7B}"/>
    <cellStyle name="Item" xfId="111" xr:uid="{9FD6542C-6B2F-46A5-A49D-3E22A3CD8C16}"/>
    <cellStyle name="ItemTypeClass" xfId="112" xr:uid="{36FD69BB-6F1A-4AB3-91BB-AF1D33FBCE14}"/>
    <cellStyle name="Linked Cell" xfId="4360" builtinId="24" customBuiltin="1"/>
    <cellStyle name="Linked Cell 2" xfId="113" xr:uid="{1CCD2CEF-B881-41CB-8C1E-FFD60AEFF4E5}"/>
    <cellStyle name="Moeda [0]_PERSON2" xfId="4399" xr:uid="{6084ECB1-7AEB-4703-8991-9393C103D716}"/>
    <cellStyle name="Moeda_CDI PACTUAL- CLAUDIO" xfId="4400" xr:uid="{608BEDB2-0C67-4615-9322-BF5825D2B983}"/>
    <cellStyle name="Neutra" xfId="114" xr:uid="{6EAC82D1-0290-42A7-AA5C-680BE4C678D2}"/>
    <cellStyle name="Neutral" xfId="6" builtinId="28" customBuiltin="1"/>
    <cellStyle name="Neutral 2" xfId="115" xr:uid="{4984C95F-CD77-40C7-B24B-0D3DF294180A}"/>
    <cellStyle name="Normal" xfId="0" builtinId="0"/>
    <cellStyle name="Normal - Style1" xfId="116" xr:uid="{6CBB2C85-C1A4-49F7-9C12-D9F60D5EFCCE}"/>
    <cellStyle name="Normal 10" xfId="267" xr:uid="{3B930969-2BB3-4786-B841-25A9F5AE7500}"/>
    <cellStyle name="Normal 10 2" xfId="282" xr:uid="{A39B0175-31D2-438E-AA89-0AD9D48484DE}"/>
    <cellStyle name="Normal 11" xfId="283" xr:uid="{2417C1DF-683E-4558-BC3B-EA99BAB83C25}"/>
    <cellStyle name="Normal 11 2" xfId="316" xr:uid="{A2635729-60EB-4E3B-9F81-787B30E6E888}"/>
    <cellStyle name="Normal 11 3" xfId="368" xr:uid="{F8B8DA87-D0A0-4C4C-B10C-0F4F1EDC1E01}"/>
    <cellStyle name="Normal 12" xfId="284" xr:uid="{FE618A9F-CEA9-4F95-8B24-CE3CF6F7675B}"/>
    <cellStyle name="Normal 12 2" xfId="300" xr:uid="{45FF509B-EE8E-40E8-B0B3-D32CA330C2F2}"/>
    <cellStyle name="Normal 12 3" xfId="317" xr:uid="{9DBF763B-9DD5-4BD1-A045-2A1EEFCAE667}"/>
    <cellStyle name="Normal 13" xfId="318" xr:uid="{2DFFC263-7300-4EC8-9636-139FDB526824}"/>
    <cellStyle name="Normal 13 2" xfId="358" xr:uid="{65DDEDF0-5CE1-44D2-951B-5D03C4C0639F}"/>
    <cellStyle name="Normal 14" xfId="319" xr:uid="{659C44F5-A6C5-4830-AEE4-F995E996ED26}"/>
    <cellStyle name="Normal 14 2" xfId="359" xr:uid="{F0CA5039-7D7C-4C08-85C6-8A0A25C352AF}"/>
    <cellStyle name="Normal 15" xfId="320" xr:uid="{70749216-EF90-4D1F-9F17-F870ADED195F}"/>
    <cellStyle name="Normal 15 2" xfId="360" xr:uid="{4C94BD55-16C7-4CBA-A55E-08A91EBE2927}"/>
    <cellStyle name="Normal 16" xfId="380" xr:uid="{9CB5FD33-FFA7-42CB-B84C-87D83C48624A}"/>
    <cellStyle name="Normal 16 2" xfId="1229" xr:uid="{A054CFC8-A8E1-4DAC-9016-BB8E688EA0A2}"/>
    <cellStyle name="Normal 17" xfId="369" xr:uid="{5378B87C-BDCD-4556-A78C-659A6C05D4EF}"/>
    <cellStyle name="Normal 17 2" xfId="1231" xr:uid="{8923B701-9F34-42CE-B14B-C188D0A2AB05}"/>
    <cellStyle name="Normal 18" xfId="370" xr:uid="{9203FDB8-4FA6-4262-937C-ADDF3EC930B1}"/>
    <cellStyle name="Normal 18 2" xfId="1233" xr:uid="{AE3EA9D8-FBD7-4580-8B8E-41E61ABC2280}"/>
    <cellStyle name="Normal 19" xfId="381" xr:uid="{4A5F83A0-E0C0-42DA-8E04-D82774A3FB1A}"/>
    <cellStyle name="Normal 19 2" xfId="1235" xr:uid="{4EB3C161-798C-4807-A8A2-1EEC75470983}"/>
    <cellStyle name="Normal 194" xfId="286" xr:uid="{D75604EF-F8D0-423C-8921-E52F8E7D2A37}"/>
    <cellStyle name="Normal 2" xfId="117" xr:uid="{1723D63A-8C33-42C7-AAAB-555BC084F6C3}"/>
    <cellStyle name="Normal 2 11" xfId="118" xr:uid="{9784929F-E2D8-4C54-B8CB-40BD5DAE26C0}"/>
    <cellStyle name="Normal 2 2" xfId="119" xr:uid="{4804E576-9156-4DE7-A862-04B3A2116C3C}"/>
    <cellStyle name="Normal 2 2 2" xfId="225" xr:uid="{28825D2A-5450-4F35-A726-F725CABFE3B7}"/>
    <cellStyle name="Normal 2 3" xfId="120" xr:uid="{3AFBE575-7E78-406B-A3AB-BBA4F25C5562}"/>
    <cellStyle name="Normal 2 4" xfId="197" xr:uid="{929971C7-26A0-4C76-B57F-675ED88A3842}"/>
    <cellStyle name="Normal 2 5" xfId="224" xr:uid="{D220B6FA-9087-478B-8071-F8661964D1B6}"/>
    <cellStyle name="Normal 2 6" xfId="285" xr:uid="{23596ABA-6F71-4AB7-B4A6-1786C41A94F6}"/>
    <cellStyle name="Normal 20" xfId="1237" xr:uid="{1DAFB88B-591D-4B8B-9920-264BC544A5D4}"/>
    <cellStyle name="Normal 21" xfId="1240" xr:uid="{AAD4631B-4556-4659-878F-77B7AF74F583}"/>
    <cellStyle name="Normal 22" xfId="1241" xr:uid="{34BA1430-F1DC-4871-8DE1-02C7FA5F0AB2}"/>
    <cellStyle name="Normal 23" xfId="1243" xr:uid="{43BEF207-CC17-4B6E-B2DD-92161AE12203}"/>
    <cellStyle name="Normal 24" xfId="372" xr:uid="{0ACAF365-02AA-40E6-B023-DCD05D90ADA4}"/>
    <cellStyle name="Normal 25" xfId="371" xr:uid="{F83B230E-1487-4601-B457-E6CDBA39D6BC}"/>
    <cellStyle name="Normal 268" xfId="121" xr:uid="{B4A829F7-730E-4071-AB2B-415D706D1AF0}"/>
    <cellStyle name="Normal 3" xfId="122" xr:uid="{14E24121-8157-4EDD-9C8C-358F5ED2DF74}"/>
    <cellStyle name="Normal 3 2" xfId="227" xr:uid="{EF6128AC-2A42-449B-93AA-F5FC8ECF0A26}"/>
    <cellStyle name="Normal 3 3" xfId="226" xr:uid="{37406F78-4C49-4684-8790-8D590E167E5B}"/>
    <cellStyle name="Normal 31" xfId="374" xr:uid="{9CF3A4D3-AE2E-471B-8B40-122107ECBB6C}"/>
    <cellStyle name="Normal 32" xfId="373" xr:uid="{0C6B33D0-5905-4FEE-9440-E575139EA7AA}"/>
    <cellStyle name="Normal 39" xfId="377" xr:uid="{E05139CB-224F-4041-8DE0-6DD1E9011020}"/>
    <cellStyle name="Normal 4" xfId="123" xr:uid="{F9689918-0DBF-4B4F-87FD-EC2F8D965E4E}"/>
    <cellStyle name="Normal 4 2" xfId="124" xr:uid="{E663E536-2DA7-4923-BCBC-63B9F52C66BC}"/>
    <cellStyle name="Normal 42" xfId="376" xr:uid="{A28D969F-2E12-4CD4-BC77-0BB2B8A8DC70}"/>
    <cellStyle name="Normal 45" xfId="379" xr:uid="{23841322-4911-4B4A-B771-4A0C3FB34AEA}"/>
    <cellStyle name="Normal 46" xfId="378" xr:uid="{D20FCE35-1F92-4CDD-97A9-C10EE4E7A060}"/>
    <cellStyle name="Normal 5" xfId="125" xr:uid="{E1DEE5B6-BEC5-4EEF-BA01-3E3D8E9C57F6}"/>
    <cellStyle name="Normal 5 2" xfId="126" xr:uid="{3802802E-B57E-4F14-98B5-70F560504447}"/>
    <cellStyle name="Normal 5 3" xfId="228" xr:uid="{3CFF8EBA-9BC3-4DCB-AE20-C23D7F265410}"/>
    <cellStyle name="Normal 6" xfId="196" xr:uid="{5F48E433-92B9-4198-BC0B-A5973C859E06}"/>
    <cellStyle name="Normal 6 2" xfId="287" xr:uid="{07B6FFBD-1CF9-4356-BBFB-FF24D7F2F49E}"/>
    <cellStyle name="Normal 7" xfId="127" xr:uid="{D03F1DBC-571E-402A-8CA7-82721D18E17D}"/>
    <cellStyle name="Normal 8" xfId="232" xr:uid="{46A6B903-11AA-4A05-99ED-B9F72255F855}"/>
    <cellStyle name="Normal 8 2" xfId="258" xr:uid="{70FAD8E0-DB07-4CBF-A64B-597A2353EA1D}"/>
    <cellStyle name="Normal 8 3" xfId="278" xr:uid="{9F85E8E0-24F2-4602-A138-E76F90CDCDC5}"/>
    <cellStyle name="Normal 9" xfId="266" xr:uid="{59306BFF-E6C0-4B8C-9D04-8B495229B543}"/>
    <cellStyle name="Normal 9 2" xfId="281" xr:uid="{0DFEF053-A36B-4487-BA2D-AC1D69CB76D5}"/>
    <cellStyle name="Nota" xfId="11" xr:uid="{C6338A07-0A23-4312-92DD-B12961035702}"/>
    <cellStyle name="Nota 2" xfId="4401" xr:uid="{CD777A75-B138-4C85-8468-70055C202ED4}"/>
    <cellStyle name="Note" xfId="4363" builtinId="10" customBuiltin="1"/>
    <cellStyle name="Note 2" xfId="128" xr:uid="{B9AF3818-6A3D-4020-B764-D5C92F0A338A}"/>
    <cellStyle name="Notes" xfId="129" xr:uid="{A1BA0750-9D09-4E12-AE86-62D0B9D3C27A}"/>
    <cellStyle name="OT" xfId="130" xr:uid="{5D2D3250-436C-4A7F-8864-40BE31B4DB5E}"/>
    <cellStyle name="Output" xfId="140" builtinId="21" customBuiltin="1"/>
    <cellStyle name="Output 2" xfId="131" xr:uid="{3C827637-6694-40F4-AB01-F2204E61AB47}"/>
    <cellStyle name="Percent" xfId="1" builtinId="5"/>
    <cellStyle name="Percent 2" xfId="132" xr:uid="{3E570BB9-D0F4-498F-B5DC-2C7C72C17D2D}"/>
    <cellStyle name="Percent 2 2" xfId="133" xr:uid="{82B993B7-DA67-41F9-80BB-2A91E1BAD6FD}"/>
    <cellStyle name="Percent 3" xfId="229" xr:uid="{416BC693-4291-4772-852D-D7A3105EBA47}"/>
    <cellStyle name="Percent 4" xfId="230" xr:uid="{DC08FDEC-41AA-4386-A52F-0C6A46B830C8}"/>
    <cellStyle name="Percent 5" xfId="4420" xr:uid="{948F0733-19A3-4549-8EE6-D98BB2497B0E}"/>
    <cellStyle name="PercentChange" xfId="134" xr:uid="{5D62D87A-A6D0-4972-A5C4-EFA0FE45FDF9}"/>
    <cellStyle name="Prozent_HP PLotter_open" xfId="135" xr:uid="{3C258FBF-F297-4D80-A7F3-EB017C6A60FB}"/>
    <cellStyle name="RatioX" xfId="136" xr:uid="{676ACE23-3738-4780-8E3E-C1E2B8AC0D64}"/>
    <cellStyle name="RMIR Max Move" xfId="137" xr:uid="{106485D0-B082-454E-A2FD-D69EC94F5B66}"/>
    <cellStyle name="RMIR Size" xfId="138" xr:uid="{8CC1A847-E0A7-4A82-9C90-52D23674F4E4}"/>
    <cellStyle name="RMIR Unit" xfId="139" xr:uid="{5C91C2F2-F389-42DC-95CF-E855E8F7180E}"/>
    <cellStyle name="Saída" xfId="4402" xr:uid="{CCCBA8DA-66A9-4B27-B686-EC5ED5A54BAD}"/>
    <cellStyle name="SAPBEXaggData" xfId="141" xr:uid="{20D734D7-9233-4F28-88F5-794AA0C3AC15}"/>
    <cellStyle name="SAPBEXaggDataEmph" xfId="142" xr:uid="{2A7DE083-B1AB-46B1-AF30-7EAAD90BA260}"/>
    <cellStyle name="SAPBEXaggItem" xfId="143" xr:uid="{798D19C7-5C81-4F29-B1DF-BFE201DECD69}"/>
    <cellStyle name="SAPBEXchaText" xfId="144" xr:uid="{A5B71489-9C8E-4D0E-A35B-1C764ADEAEE5}"/>
    <cellStyle name="SAPBEXexcBad7" xfId="145" xr:uid="{0126A8AC-F05A-44AC-ADD5-CF536FECD1DE}"/>
    <cellStyle name="SAPBEXexcBad8" xfId="146" xr:uid="{020DBDC6-827F-4857-967D-12BEDA76AE0B}"/>
    <cellStyle name="SAPBEXexcBad9" xfId="147" xr:uid="{8725767A-8776-460A-91E6-EDF233A9E175}"/>
    <cellStyle name="SAPBEXexcCritical4" xfId="148" xr:uid="{174677E8-5838-40D8-9733-B24C8FC9A2CF}"/>
    <cellStyle name="SAPBEXexcCritical5" xfId="149" xr:uid="{FD40B471-1E6B-423B-8E5D-CB7717D92D73}"/>
    <cellStyle name="SAPBEXexcCritical6" xfId="150" xr:uid="{35D9727C-1941-4BE4-8695-AB7D63DD52A3}"/>
    <cellStyle name="SAPBEXexcGood1" xfId="151" xr:uid="{219FF065-2F15-453A-88AC-D9AB4C73B1AA}"/>
    <cellStyle name="SAPBEXexcGood2" xfId="152" xr:uid="{B39F4C1B-4D4E-4FA8-BD5F-EA46F76BDE20}"/>
    <cellStyle name="SAPBEXexcGood3" xfId="153" xr:uid="{8A43CDDE-4CAD-4B34-BECF-55CF979D2E39}"/>
    <cellStyle name="SAPBEXfilterDrill" xfId="154" xr:uid="{7B0B64CE-0FA5-4DAD-9133-473F518D6A8D}"/>
    <cellStyle name="SAPBEXfilterItem" xfId="155" xr:uid="{98FC7328-698A-4193-A6DE-A0E8B96270CB}"/>
    <cellStyle name="SAPBEXfilterText" xfId="156" xr:uid="{BCEC4EBA-64F4-4D68-A172-D65D3CBA66D9}"/>
    <cellStyle name="SAPBEXformats" xfId="157" xr:uid="{B72FA335-2A64-48D5-A16F-646BD0D24285}"/>
    <cellStyle name="SAPBEXheaderItem" xfId="158" xr:uid="{847B9D01-E4DF-467C-8EF9-250FF62977D6}"/>
    <cellStyle name="SAPBEXheaderText" xfId="159" xr:uid="{5A51A79E-941C-4021-92B8-34274BD7BD1B}"/>
    <cellStyle name="SAPBEXresData" xfId="160" xr:uid="{9E040078-E368-4EF6-8561-76CAA6CC38D3}"/>
    <cellStyle name="SAPBEXresDataEmph" xfId="161" xr:uid="{F829F2DD-68DE-4FA3-A65D-1E7E520AA26E}"/>
    <cellStyle name="SAPBEXresItem" xfId="162" xr:uid="{2ADD853D-F6E1-47C0-9D89-733EBD2EA3B3}"/>
    <cellStyle name="SAPBEXstdData" xfId="163" xr:uid="{80F0A9CA-9038-4802-8E8A-134FFB450F9B}"/>
    <cellStyle name="SAPBEXstdDataEmph" xfId="164" xr:uid="{247727F2-352A-4D66-9651-4DE805916813}"/>
    <cellStyle name="SAPBEXstdItem" xfId="165" xr:uid="{60C15634-337A-4D72-BF65-A7D91ACED33E}"/>
    <cellStyle name="SAPBEXtitle" xfId="166" xr:uid="{59F370A2-244A-4DAD-A8C7-C84D4954BE20}"/>
    <cellStyle name="SAPBEXundefined" xfId="167" xr:uid="{2AA96E92-E9F5-4609-BEFC-53C30EA6C32D}"/>
    <cellStyle name="ScripFactor" xfId="168" xr:uid="{1B943E7E-6A4E-40D6-AE2E-D6B7C0CD6950}"/>
    <cellStyle name="SectionHeading" xfId="169" xr:uid="{C14706FF-18FF-4769-823A-82A74736952D}"/>
    <cellStyle name="Separador de milhares [0]_PERSON2" xfId="4403" xr:uid="{7B287B8E-2AF6-4689-8CDA-937F09407B56}"/>
    <cellStyle name="Separador de milhares_CDI PACTUAL- CLAUDIO" xfId="4404" xr:uid="{7F9FCE6B-0073-4EF2-A827-4D27CEBA5CDF}"/>
    <cellStyle name="Spread" xfId="170" xr:uid="{45475724-0DFC-41DE-B967-D2C817430C29}"/>
    <cellStyle name="Spreads" xfId="171" xr:uid="{69132EED-8EB8-4047-AC6C-B99A454AE524}"/>
    <cellStyle name="Standaard_KKKKK" xfId="172" xr:uid="{6D54F394-6F04-4D47-A065-D788E4D0DCAD}"/>
    <cellStyle name="Standard_HP PLotter_open" xfId="173" xr:uid="{248DF778-DA23-4561-A217-3D8C2E700CDB}"/>
    <cellStyle name="Style 1" xfId="174" xr:uid="{A37FFB46-549E-4DCB-8C5B-69AD4E9F37D5}"/>
    <cellStyle name="Style 1 2" xfId="175" xr:uid="{004AEDC6-1622-40B7-9876-A89FE8AA4B8C}"/>
    <cellStyle name="Table Heading" xfId="176" xr:uid="{061D9209-4411-4BD8-9264-0E15D7311028}"/>
    <cellStyle name="Table Title" xfId="177" xr:uid="{CE61DF0A-FB99-49F4-B107-3CBB4C291822}"/>
    <cellStyle name="Table Units" xfId="178" xr:uid="{547958AE-53DD-485C-8275-A95B8886BA1C}"/>
    <cellStyle name="Texto de Aviso" xfId="10" xr:uid="{4125D5B1-F12B-4407-BF1A-146041173F44}"/>
    <cellStyle name="Texto de Aviso 2" xfId="4405" xr:uid="{4CE6ECB2-0434-481B-BDFC-EE7E8D4498B3}"/>
    <cellStyle name="Texto Explicativo" xfId="4406" xr:uid="{CB73BE47-996E-4C23-8922-33605F718C96}"/>
    <cellStyle name="Title" xfId="183" builtinId="15" customBuiltin="1"/>
    <cellStyle name="Title 2" xfId="180" xr:uid="{779216B2-66D2-4810-A929-56DB94BCBB82}"/>
    <cellStyle name="Title 2 2" xfId="181" xr:uid="{AD37327C-EA01-43DC-A5EF-DC7F36D7070F}"/>
    <cellStyle name="Titles" xfId="182" xr:uid="{0CF9AE79-F7BA-4413-8C1D-E0CBF88C35AB}"/>
    <cellStyle name="Título" xfId="4407" xr:uid="{83C7B909-FDDF-4786-8526-B354184596FE}"/>
    <cellStyle name="Título 1" xfId="4408" xr:uid="{36B3A3CD-5631-4041-A1EF-A03A3BCF1B8D}"/>
    <cellStyle name="Título 2" xfId="4409" xr:uid="{80B2F631-0225-457D-8F63-257A6161832B}"/>
    <cellStyle name="Título 3" xfId="4410" xr:uid="{08A60EDD-2491-4EB5-B083-4A56F9142F86}"/>
    <cellStyle name="Título 4" xfId="4411" xr:uid="{8D4AA849-4C5A-4103-BB15-444789C92E02}"/>
    <cellStyle name="Título_Data" xfId="4412" xr:uid="{2BDABDC0-7D70-4ADB-A649-15E2BC7A57EE}"/>
    <cellStyle name="Total" xfId="12" builtinId="25" customBuiltin="1"/>
    <cellStyle name="Total 2" xfId="188" xr:uid="{C67F556C-9414-4FC2-BC22-906B07CE7536}"/>
    <cellStyle name="UltimoRate" xfId="189" xr:uid="{CEC497E9-9CC3-403E-A757-98903F1E5EDC}"/>
    <cellStyle name="Vírgula" xfId="4413" xr:uid="{D8E66B37-2579-4EF8-97EB-42F1F7BE9266}"/>
    <cellStyle name="Vírgula 3" xfId="191" xr:uid="{6FC83F1B-A55B-4A8D-B560-C6DCD9DDBF5E}"/>
    <cellStyle name="Vírgula 3 2" xfId="1282" xr:uid="{C51A28FC-92F1-4CF7-B987-B8557BDF7EAE}"/>
    <cellStyle name="Vírgula 3 2 2" xfId="3340" xr:uid="{BC3BC18C-9E3E-4AE1-8DED-7F8946B1C6F0}"/>
    <cellStyle name="Vírgula 3 3" xfId="2310" xr:uid="{64AA42A3-494B-45AC-821A-85C0BECC6097}"/>
    <cellStyle name="Vírgula 3 4" xfId="4436" xr:uid="{B5BFB2B8-7105-4A82-8E26-E00C338EDE20}"/>
    <cellStyle name="Währung [0]_RESULTS" xfId="192" xr:uid="{7334A04D-DE34-4C83-A2A2-4FE8747907CA}"/>
    <cellStyle name="Währung_RESULTS" xfId="193" xr:uid="{74E2F173-CB01-437C-B2D5-BAA3BD79FABD}"/>
    <cellStyle name="Warning Text" xfId="4362" builtinId="11" customBuiltin="1"/>
    <cellStyle name="Warning Text 2" xfId="194" xr:uid="{9CA85F8E-1FD6-4350-9E41-606A6973E10D}"/>
  </cellStyles>
  <dxfs count="1774">
    <dxf>
      <font>
        <color rgb="FFFF000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6" formatCode="d/m/yy;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auto="1"/>
        </patternFill>
      </fill>
    </dxf>
    <dxf>
      <numFmt numFmtId="166" formatCode="#,##0_ ;[Red]\-#,##0\ "/>
    </dxf>
    <dxf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8" formatCode="0.00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66" formatCode="#,##0_ ;[Red]\-#,##0\ 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</dxf>
    <dxf>
      <alignment wrapText="1"/>
    </dxf>
    <dxf>
      <alignment wrapText="1"/>
    </dxf>
    <dxf>
      <alignment horizontal="center"/>
    </dxf>
    <dxf>
      <alignment horizontal="center"/>
    </dxf>
    <dxf>
      <alignment vertical="center"/>
    </dxf>
    <dxf>
      <alignment vertical="center"/>
    </dxf>
    <dxf>
      <numFmt numFmtId="170" formatCode="#,##0.00_ ;[Red]\-#,##0.00\ 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numFmt numFmtId="14" formatCode="0.00%"/>
      <alignment vertical="center" wrapText="1"/>
    </dxf>
    <dxf>
      <font>
        <b/>
      </font>
      <numFmt numFmtId="170" formatCode="#,##0.00_ ;[Red]\-#,##0.00\ "/>
      <alignment horizontal="center" vertical="center" wrapText="1"/>
    </dxf>
    <dxf>
      <numFmt numFmtId="14" formatCode="0.00%"/>
    </dxf>
    <dxf>
      <numFmt numFmtId="14" formatCode="0.00%"/>
    </dxf>
    <dxf>
      <numFmt numFmtId="172" formatCode="0.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left"/>
    </dxf>
    <dxf>
      <alignment wrapText="1"/>
    </dxf>
    <dxf>
      <alignment vertical="center"/>
    </dxf>
    <dxf>
      <numFmt numFmtId="14" formatCode="0.00%"/>
    </dxf>
    <dxf>
      <numFmt numFmtId="14" formatCode="0.0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alignment horizontal="general" vertical="bottom" textRotation="0" wrapText="0" indent="0" justifyLastLine="0" shrinkToFit="0" readingOrder="0"/>
    </dxf>
    <dxf>
      <alignment wrapText="1"/>
    </dxf>
    <dxf>
      <numFmt numFmtId="0" formatCode="General"/>
      <alignment horizontal="general" vertical="bottom" textRotation="0" wrapText="0" indent="0" justifyLastLine="0" shrinkToFit="0" readingOrder="0"/>
    </dxf>
    <dxf>
      <numFmt numFmtId="172" formatCode="0.0%"/>
    </dxf>
    <dxf>
      <fill>
        <patternFill patternType="none">
          <bgColor auto="1"/>
        </patternFill>
      </fill>
    </dxf>
    <dxf>
      <numFmt numFmtId="14" formatCode="0.00%"/>
    </dxf>
    <dxf>
      <numFmt numFmtId="14" formatCode="0.00%"/>
      <alignment horizontal="general" vertical="bottom" textRotation="0" wrapText="0" indent="0" justifyLastLine="0" shrinkToFit="0" readingOrder="0"/>
    </dxf>
    <dxf>
      <numFmt numFmtId="14" formatCode="0.00%"/>
      <alignment horizontal="general" vertical="bottom" textRotation="0" wrapText="0" indent="0" justifyLastLine="0" shrinkToFit="0" readingOrder="0"/>
    </dxf>
  </dxfs>
  <tableStyles count="1" defaultTableStyle="TableStyleMedium2" defaultPivotStyle="PivotStyleLight16">
    <tableStyle name="Estilo de Tabela 1" pivot="0" count="0" xr9:uid="{DFC942C1-1C08-4C2E-861F-03FFABFBF541}"/>
  </tableStyles>
  <colors>
    <mruColors>
      <color rgb="FFF2F3CF"/>
      <color rgb="FFE5E79D"/>
      <color rgb="FFFEBBB4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>
        <v>26834.77</v>
        <stp/>
        <stp>BDP|17098946093906753306|22</stp>
        <stp>HSI Index</stp>
        <stp>LAST_PRICE</stp>
        <tr r="H18" s="252"/>
        <tr r="H18" s="252"/>
      </tp>
      <tp>
        <v>397.68</v>
        <stp/>
        <stp>BDP|4064022148367835219|22</stp>
        <stp>SMH Equity</stp>
        <stp>LAST PRICE</stp>
        <tr r="I34" s="338"/>
        <tr r="I35" s="338"/>
        <tr r="I36" s="338"/>
        <tr r="I37" s="338"/>
        <tr r="G50" s="338"/>
        <tr r="G51" s="338"/>
      </tp>
      <tp t="s">
        <v>USD</v>
        <stp/>
        <stp>BDP|2490195519672700929|22</stp>
        <stp>MRVL US 03/20/26 P70 Equity</stp>
        <stp>QUOTED_CURRENCY_REALTIME</stp>
        <tr r="G17" s="2"/>
        <tr r="F63" s="89"/>
        <tr r="G18" s="2"/>
      </tp>
      <tp>
        <v>0.49777460098266602</v>
        <stp/>
        <stp>BDP|17313826581786805603|22</stp>
        <stp>AMZN US 07/17/26 C250 Equity</stp>
        <stp>DELTA_MID_RT</stp>
        <tr r="W234" s="89"/>
      </tp>
      <tp t="s">
        <v>#N/A Invalid Security</v>
        <stp/>
        <stp>BDP|6862638698669677918|22</stp>
        <stp>CSCO US 07/17/26 C670 Equity</stp>
        <stp>bid</stp>
        <tr r="K26" s="89"/>
      </tp>
      <tp t="s">
        <v>#N/A Real Time</v>
        <stp/>
        <stp>BDP|9106857053131827566|22</stp>
        <stp>SPXW US 12/31/25 C6950 Index</stp>
        <stp>DELTA_MID_RT</stp>
        <tr r="W160" s="89"/>
      </tp>
      <tp>
        <v>0.55555689334869385</v>
        <stp/>
        <stp>BDP|16080044180315030458|22</stp>
        <stp>META US 04/17/26 C690 Equity</stp>
        <stp>DELTA_MID_RT</stp>
        <tr r="W169" s="89"/>
      </tp>
      <tp t="s">
        <v>#N/A Real Time</v>
        <stp/>
        <stp>BDP|9946810605715956638|22</stp>
        <stp>AMAT US 01/23/26 P280 Equity</stp>
        <stp>ask</stp>
        <tr r="L56" s="89"/>
      </tp>
      <tp>
        <v>2.15</v>
        <stp/>
        <stp>BDP|6404964195248120774|22</stp>
        <stp>DELL US 02/06/26 P115 Equity</stp>
        <stp>ask</stp>
        <tr r="L49" s="89"/>
      </tp>
      <tp>
        <v>0.18</v>
        <stp/>
        <stp>BDP|9716029128836757584|22</stp>
        <stp>NVDA US 02/06/26 C195 Equity</stp>
        <stp>ask</stp>
        <tr r="L39" s="89"/>
      </tp>
      <tp t="s">
        <v>#N/A Real Time</v>
        <stp/>
        <stp>BDP|4173700437419483715|22</stp>
        <stp>IMBWK5C4 5880 Index</stp>
        <stp>bid</stp>
        <tr r="K90" s="89"/>
      </tp>
      <tp t="s">
        <v>#N/A Real Time</v>
        <stp/>
        <stp>BDP|1660304564695201690|22</stp>
        <stp>AMAT US 01/23/26 P290 Equity</stp>
        <stp>bid</stp>
        <tr r="K55" s="89"/>
      </tp>
      <tp t="s">
        <v>USD</v>
        <stp/>
        <stp>BDP|6836574577411751820|22</stp>
        <stp>MRVL US 03/20/26 P75 Equity</stp>
        <stp>QUOTED_CURRENCY_REALTIME</stp>
        <tr r="G15" s="2"/>
      </tp>
      <tp>
        <v>0.11</v>
        <stp/>
        <stp>BDP|9697370432367542899|22</stp>
        <stp>NVDA US 02/06/26 C197.5 Equity</stp>
        <stp>bid</stp>
        <tr r="K33" s="89"/>
      </tp>
      <tp t="s">
        <v>USD</v>
        <stp/>
        <stp>BDP|13239800232899395154|22</stp>
        <stp>1OG6P 25750 Index</stp>
        <stp>QUOTED_CURRENCY_REALTIME</stp>
        <tr r="F153" s="89"/>
      </tp>
      <tp t="s">
        <v>#N/A Invalid Security</v>
        <stp/>
        <stp>BDP|3593915796088697469|22</stp>
        <stp xml:space="preserve"> Equity</stp>
        <stp>DELTA_MID_RT</stp>
        <tr r="W178" s="89"/>
        <tr r="W179" s="89"/>
      </tp>
      <tp t="s">
        <v>USD</v>
        <stp/>
        <stp>BDP|6756872842970625586|22</stp>
        <stp>NFLX US 05/15/26 C90 Equity</stp>
        <stp>QUOTED_CURRENCY_REALTIME</stp>
        <tr r="F204" s="89"/>
        <tr r="G10" s="2"/>
      </tp>
      <tp t="s">
        <v>#N/A Real Time</v>
        <stp/>
        <stp>BDP|3954062195024173589|22</stp>
        <stp>RTYWU5C3 2425 Index</stp>
        <stp>ask</stp>
        <tr r="L144" s="89"/>
      </tp>
      <tp>
        <v>12.5</v>
        <stp/>
        <stp>BDP|5846012848698429799|22</stp>
        <stp>MSFT US 07/17/26 C470 Equity</stp>
        <stp>bid</stp>
        <tr r="K235" s="89"/>
      </tp>
      <tp>
        <v>0.60270458459854126</v>
        <stp/>
        <stp>BDP|11737212965379664006|22</stp>
        <stp>META US 07/17/26 C680 Equity</stp>
        <stp>DELTA_MID_RT</stp>
        <tr r="W233" s="89"/>
      </tp>
      <tp>
        <v>-0.11385176330804825</v>
        <stp/>
        <stp>BDP|2162853239863021436|22</stp>
        <stp>TSM US 06/18/26 C380 Equity</stp>
        <stp>theta_mid_rt</stp>
        <tr r="AN32" s="2"/>
      </tp>
      <tp>
        <v>546000</v>
        <stp/>
        <stp>BDP|10326717174573414601|22</stp>
        <stp>402340 KP Equity</stp>
        <stp>LAST_PRICE</stp>
        <tr r="I36" s="1"/>
      </tp>
      <tp>
        <v>0.74197310209274292</v>
        <stp/>
        <stp>BDP|10012779820456568860|22</stp>
        <stp>META US 02/27/26 C660 Equity</stp>
        <stp>DELTA_MID_RT</stp>
        <tr r="W180" s="89"/>
      </tp>
      <tp>
        <v>30.18</v>
        <stp/>
        <stp>BDP|4238048935133024019|22</stp>
        <stp>AVGO US 06/18/26 C350 Equity</stp>
        <stp>mid</stp>
        <tr r="L5" s="2"/>
      </tp>
      <tp t="s">
        <v>#N/A Real Time</v>
        <stp/>
        <stp>BDP|7439765758104486583|22</stp>
        <stp>AMAT US 01/23/26 P280 Equity</stp>
        <stp>bid</stp>
        <tr r="K56" s="89"/>
      </tp>
      <tp t="s">
        <v>#N/A Real Time</v>
        <stp/>
        <stp>BDP|5591909437626601776|22</stp>
        <stp>4EU5 Index</stp>
        <stp>LAST_PRICE</stp>
        <tr r="S136" s="89"/>
        <tr r="S137" s="89"/>
        <tr r="S138" s="89"/>
      </tp>
      <tp t="s">
        <v>#N/A Real Time</v>
        <stp/>
        <stp>BDP|7562379794516587307|22</stp>
        <stp>RFSWZ4C3 2400 Index</stp>
        <stp>bid</stp>
        <tr r="K123" s="89"/>
      </tp>
      <tp t="s">
        <v>#N/A Real Time</v>
        <stp/>
        <stp>BDP|2533983096932488351|22</stp>
        <stp>RTYWU5C3 2425 Index</stp>
        <stp>bid</stp>
        <tr r="K144" s="89"/>
      </tp>
      <tp>
        <v>53.53</v>
        <stp/>
        <stp>BDP|1320627904483275026|22</stp>
        <stp>XLF Equity</stp>
        <stp>LAST PRICE</stp>
        <tr r="G17" s="338"/>
        <tr r="G18" s="338"/>
      </tp>
      <tp t="s">
        <v>#N/A Real Time</v>
        <stp/>
        <stp>BDP|5057796029059010943|22</stp>
        <stp>RFSWZ4C3 2360 Index</stp>
        <stp>bid</stp>
        <tr r="K122" s="89"/>
      </tp>
      <tp>
        <v>25418.5</v>
        <stp/>
        <stp>BDP|15320864327158412398|22</stp>
        <stp>1OH6 Equity</stp>
        <stp>LAST_PRICE</stp>
        <tr r="I15" s="1"/>
      </tp>
      <tp>
        <v>0.17086073756217957</v>
        <stp/>
        <stp>BDP|14091170888152008254|22</stp>
        <stp>ASHR US 02/20/26 C35 Equity</stp>
        <stp>DELTA_MID_RT</stp>
        <tr r="AF4" s="2"/>
      </tp>
      <tp>
        <v>0.66735959053039551</v>
        <stp/>
        <stp>BDP|10111712063840980805|22</stp>
        <stp>AAPL US 04/17/26 C260 Equity</stp>
        <stp>DELTA_MID_RT</stp>
        <tr r="AF20" s="2"/>
        <tr r="W7" s="89"/>
      </tp>
      <tp t="s">
        <v>#N/A Real Time</v>
        <stp/>
        <stp>BDP|3350828662352011280|22</stp>
        <stp>RFSWZ4C3 2360 Index</stp>
        <stp>ask</stp>
        <tr r="L122" s="89"/>
      </tp>
      <tp>
        <v>-0.22502721846103668</v>
        <stp/>
        <stp>BDP|17295184878350823401|22</stp>
        <stp>INTC US 07/17/26 P40 Equity</stp>
        <stp>DELTA_MID_RT</stp>
        <tr r="AF26" s="2"/>
        <tr r="W197" s="89"/>
        <tr r="AF27" s="2"/>
      </tp>
      <tp>
        <v>0.55253177881240845</v>
        <stp/>
        <stp>BDP|13298101022063198194|22</stp>
        <stp>META US 07/17/26 C700 Equity</stp>
        <stp>DELTA_MID_RT</stp>
        <tr r="W14" s="89"/>
        <tr r="W27" s="89"/>
        <tr r="W171" s="89"/>
      </tp>
      <tp>
        <v>0.67</v>
        <stp/>
        <stp>BDP|6389157119875502262|22</stp>
        <stp>DELL US 02/06/26 P110 Equity</stp>
        <stp>ask</stp>
        <tr r="L50" s="89"/>
      </tp>
      <tp>
        <v>411.21</v>
        <stp/>
        <stp>BDP|274803756834169207|22</stp>
        <stp>MSFT EQUITY</stp>
        <stp>LAST_PRICE</stp>
        <tr r="C7" s="1"/>
      </tp>
      <tp>
        <v>-0.21505105495452881</v>
        <stp/>
        <stp>BDP|12625852508096869257|22</stp>
        <stp>NFLX US 05/15/26 P70 Equity</stp>
        <stp>DELTA_MID_RT</stp>
        <tr r="W205" s="89"/>
        <tr r="AF11" s="2"/>
      </tp>
      <tp t="s">
        <v>#N/A Real Time</v>
        <stp/>
        <stp>BDP|2891447407704048860|22</stp>
        <stp>IMBWK5C4 5840 Index</stp>
        <stp>bid</stp>
        <tr r="K89" s="89"/>
      </tp>
      <tp t="s">
        <v>USD</v>
        <stp/>
        <stp>BDP|6256704095836032074|22</stp>
        <stp>INTC US 07/17/26 C50 Equity</stp>
        <stp>QUOTED_CURRENCY_REALTIME</stp>
        <tr r="G25" s="2"/>
        <tr r="F196" s="89"/>
      </tp>
      <tp t="s">
        <v>USD</v>
        <stp/>
        <stp>BDP|7525271008399615963|22</stp>
        <stp>MRVL US 03/20/26 P80 Equity</stp>
        <stp>QUOTED_CURRENCY_REALTIME</stp>
        <tr r="G16" s="2"/>
        <tr r="F62" s="89"/>
      </tp>
      <tp>
        <v>167500</v>
        <stp/>
        <stp>BDP|16899343593751064352|22</stp>
        <stp>005930 KP Equity</stp>
        <stp>LAST_PRICE</stp>
        <tr r="I37" s="1"/>
      </tp>
      <tp>
        <v>71.239999999999995</v>
        <stp/>
        <stp>BDP|3505174117914270567|22</stp>
        <stp>KRE Equity</stp>
        <stp>LAST PRICE</stp>
        <tr r="I54" s="338"/>
      </tp>
      <tp>
        <v>-0.72137463092803955</v>
        <stp/>
        <stp>BDP|7339388302211404545|22</stp>
        <stp>QQQ US 02/06/26 P615 Equity</stp>
        <stp>theta_mid_rt</stp>
        <tr r="AN23" s="2"/>
      </tp>
      <tp>
        <v>0</v>
        <stp/>
        <stp>BDP|8788511427478370706|22</stp>
        <stp>QQQ US 02/03/26 P612 Equity</stp>
        <stp>theta_mid_rt</stp>
        <tr r="AN7" s="2"/>
      </tp>
      <tp>
        <v>262.77999999999997</v>
        <stp/>
        <stp>BDP|9630309169962502325|22</stp>
        <stp>IWM Equity</stp>
        <stp>LAST PRICE</stp>
        <tr r="I48" s="338"/>
        <tr r="I49" s="338"/>
      </tp>
      <tp>
        <v>10.15</v>
        <stp/>
        <stp>BDP|5246680316890063223|22</stp>
        <stp>NVDA US 05/15/26 C200 Equity</stp>
        <stp>bid</stp>
        <tr r="P8" s="2"/>
      </tp>
      <tp>
        <v>42.15</v>
        <stp/>
        <stp>BDP|3590605343208203473|22</stp>
        <stp>META US 07/17/26 C750 Equity</stp>
        <stp>ask</stp>
        <tr r="Q12" s="2"/>
        <tr r="Q13" s="2"/>
        <tr r="L13" s="89"/>
      </tp>
      <tp t="s">
        <v>#N/A N/A</v>
        <stp/>
        <stp>BDP|17760805247000927108</stp>
        <tr r="AF17" s="1"/>
        <tr r="AF18" s="1"/>
      </tp>
      <tp t="s">
        <v>#N/A Requesting Data...3140461436</v>
        <stp/>
        <stp>BDP|17013938858517156635</stp>
        <tr r="AR25" s="2"/>
      </tp>
      <tp t="s">
        <v>#N/A Requesting Data...3409180459</v>
        <stp/>
        <stp>BDP|15582332073698885344</stp>
        <tr r="G19" s="446"/>
      </tp>
      <tp t="s">
        <v>#N/A N/A</v>
        <stp/>
        <stp>BDP|18146375769712507536</stp>
        <tr r="E2" s="1"/>
      </tp>
      <tp t="s">
        <v>#N/A Requesting Data...3796272701</v>
        <stp/>
        <stp>BDP|13135230879275111937</stp>
        <tr r="AJ12" s="338"/>
      </tp>
      <tp t="s">
        <v>#N/A Requesting Data...3524004419</v>
        <stp/>
        <stp>BDP|17278629169738623577</stp>
        <tr r="N19" s="252"/>
        <tr r="N19" s="252"/>
      </tp>
      <tp t="s">
        <v>#N/A Requesting Data...3547729915</v>
        <stp/>
        <stp>BDP|11926815970023143712</stp>
        <tr r="Q17" s="338"/>
      </tp>
      <tp t="s">
        <v>#N/A Requesting Data...3126381759</v>
        <stp/>
        <stp>BDP|17052781431848040118</stp>
        <tr r="V212" s="89"/>
      </tp>
      <tp t="s">
        <v>#N/A Requesting Data...2978448343</v>
        <stp/>
        <stp>BDP|15581562198526337530</stp>
        <tr r="AK12" s="338"/>
      </tp>
      <tp t="s">
        <v>#N/A N/A</v>
        <stp/>
        <stp>BDP|10105494213746991999</stp>
        <tr r="K31" s="1"/>
      </tp>
      <tp t="s">
        <v>#N/A Requesting Data...3718913492</v>
        <stp/>
        <stp>BDP|13286384604342093849</stp>
        <tr r="X45" s="338"/>
      </tp>
      <tp t="s">
        <v>#N/A Requesting Data...3453848737</v>
        <stp/>
        <stp>BDP|17091901852733839203</stp>
        <tr r="Q9" s="338"/>
      </tp>
      <tp>
        <v>227.5</v>
        <stp/>
        <stp>BDP|11303363706187383789|22</stp>
        <stp>2OG6P 25000 Index</stp>
        <stp>bid</stp>
        <tr r="K154" s="89"/>
      </tp>
      <tp t="s">
        <v>#N/A Requesting Data...3220919295</v>
        <stp/>
        <stp>BDP|10697032249217899983</stp>
        <tr r="L10" s="338"/>
        <tr r="J10" s="338"/>
        <tr r="L44" s="338"/>
        <tr r="H44" s="338"/>
        <tr r="L47" s="338"/>
        <tr r="H47" s="338"/>
        <tr r="L48" s="338"/>
        <tr r="H48" s="338"/>
        <tr r="L53" s="338"/>
        <tr r="J53" s="338"/>
      </tp>
      <tp t="s">
        <v>#N/A Requesting Data...3418423002</v>
        <stp/>
        <stp>BDP|18304888293894101754</stp>
        <tr r="S9" s="338"/>
      </tp>
      <tp t="s">
        <v>#N/A Requesting Data...3766972625</v>
        <stp/>
        <stp>BDP|10639276692284852548</stp>
        <tr r="F28" s="446"/>
      </tp>
      <tp t="s">
        <v>#N/A Requesting Data...3623339049</v>
        <stp/>
        <stp>BDP|10749518787913680498</stp>
        <tr r="G41" s="446"/>
      </tp>
      <tp t="s">
        <v>#N/A Requesting Data...3806645146</v>
        <stp/>
        <stp>BDP|15491877244086779510</stp>
        <tr r="C90" s="89"/>
      </tp>
      <tp t="s">
        <v>#N/A Requesting Data...3203284178</v>
        <stp/>
        <stp>BDP|15599576753428820781</stp>
        <tr r="O236" s="89"/>
      </tp>
      <tp t="s">
        <v>#N/A N/A</v>
        <stp/>
        <stp>BDP|15119105356728105374</stp>
        <tr r="AB55" s="89"/>
        <tr r="AB56" s="89"/>
      </tp>
      <tp t="s">
        <v>#N/A Requesting Data...3637315149</v>
        <stp/>
        <stp>BDP|13580044254665665930</stp>
        <tr r="Q55" s="338"/>
      </tp>
      <tp t="s">
        <v>#N/A Requesting Data...3602741782</v>
        <stp/>
        <stp>BDP|12497145892616892699</stp>
        <tr r="D102" s="89"/>
      </tp>
      <tp t="s">
        <v>#N/A Requesting Data...3855363332</v>
        <stp/>
        <stp>BDP|14492417491683249054</stp>
        <tr r="AJ41" s="338"/>
        <tr r="AJ42" s="338"/>
      </tp>
      <tp t="s">
        <v>#N/A Requesting Data...4253233254</v>
        <stp/>
        <stp>BDP|17859999151229570867</stp>
        <tr r="E8" s="89"/>
      </tp>
      <tp t="s">
        <v>#N/A Requesting Data...3032654563</v>
        <stp/>
        <stp>BDP|13840950528096738417</stp>
        <tr r="L42" s="338"/>
        <tr r="J42" s="338"/>
      </tp>
      <tp t="s">
        <v>#N/A Requesting Data...3149502039</v>
        <stp/>
        <stp>BDP|10145867011121078252</stp>
        <tr r="E14" s="89"/>
        <tr r="E171" s="89"/>
        <tr r="E27" s="89"/>
      </tp>
      <tp t="s">
        <v>#N/A N/A</v>
        <stp/>
        <stp>BDP|12363723043083315837</stp>
        <tr r="R160" s="89"/>
      </tp>
      <tp t="s">
        <v>#N/A N/A</v>
        <stp/>
        <stp>BDP|14891875496009468680</stp>
        <tr r="R108" s="89"/>
      </tp>
      <tp t="s">
        <v>#N/A Requesting Data...3233213659</v>
        <stp/>
        <stp>BDP|10020321410941159965</stp>
        <tr r="S42" s="338"/>
      </tp>
      <tp t="s">
        <v>#N/A Requesting Data...3804472050</v>
        <stp/>
        <stp>BDP|11794748141588350041</stp>
        <tr r="AJ8" s="338"/>
        <tr r="AJ9" s="338"/>
      </tp>
      <tp t="s">
        <v>#N/A Requesting Data...3365478233</v>
        <stp/>
        <stp>BDP|17629987897674831958</stp>
        <tr r="AJ16" s="338"/>
        <tr r="AJ38" s="338"/>
        <tr r="AJ40" s="338"/>
        <tr r="AH16" s="338"/>
        <tr r="AH38" s="338"/>
        <tr r="AH40" s="338"/>
      </tp>
      <tp t="s">
        <v>#N/A N/A</v>
        <stp/>
        <stp>BDP|16757205954548058378</stp>
        <tr r="AI35" s="1"/>
      </tp>
      <tp t="s">
        <v>#N/A Requesting Data...4245948983</v>
        <stp/>
        <stp>BDP|15240130704368843692</stp>
        <tr r="V154" s="89"/>
      </tp>
      <tp t="s">
        <v>#N/A Requesting Data...4221085713</v>
        <stp/>
        <stp>BDP|16761382649589718257</stp>
        <tr r="AB25" s="1"/>
        <tr r="AB26" s="1"/>
        <tr r="F27" s="446"/>
      </tp>
      <tp t="s">
        <v>#N/A Requesting Data...2992875061</v>
        <stp/>
        <stp>BDP|11629287799981255124</stp>
        <tr r="C68" s="89"/>
      </tp>
      <tp t="s">
        <v>#N/A N/A</v>
        <stp/>
        <stp>BDP|10560430593062313514</stp>
        <tr r="AG56" s="1"/>
      </tp>
      <tp t="s">
        <v>#N/A N/A</v>
        <stp/>
        <stp>BDP|13546818454494181070</stp>
        <tr r="AC56" s="1"/>
      </tp>
      <tp t="e">
        <v>#N/A</v>
        <stp/>
        <stp>BDH|15321413390551475328</stp>
        <tr r="AU9" s="338"/>
      </tp>
      <tp t="e">
        <v>#N/A</v>
        <stp/>
        <stp>BDH|10097910716274795641</stp>
        <tr r="T18" s="252"/>
        <tr r="W18" s="252"/>
      </tp>
      <tp t="s">
        <v>#N/A Real Time</v>
        <stp/>
        <stp>BDP|14244088115833890454|22</stp>
        <stp>SCH5C   6250 Index</stp>
        <stp>DELTA_MID_RT</stp>
        <tr r="W96" s="89"/>
      </tp>
      <tp>
        <v>0.58388292789459229</v>
        <stp/>
        <stp>BDP|11754717216942473893|22</stp>
        <stp>INTC US 07/17/26 C50 Equity</stp>
        <stp>DELTA_MID_RT</stp>
        <tr r="AF25" s="2"/>
        <tr r="W196" s="89"/>
      </tp>
      <tp>
        <v>18.55</v>
        <stp/>
        <stp>BDP|4828129288805035374|22</stp>
        <stp>AAPL US 04/17/26 C260 Equity</stp>
        <stp>ask</stp>
        <tr r="Q20" s="2"/>
        <tr r="L7" s="89"/>
      </tp>
      <tp>
        <v>0.27472531795501709</v>
        <stp/>
        <stp>BDP|15091267836171787049|22</stp>
        <stp>AVGO US 06/18/26 C410 Equity</stp>
        <stp>DELTA_MID_RT</stp>
        <tr r="W222" s="89"/>
      </tp>
      <tp>
        <v>28.2</v>
        <stp/>
        <stp>BDP|9892279240398643988|22</stp>
        <stp>AVGO US 06/18/26 P300 Equity</stp>
        <stp>bid</stp>
        <tr r="K224" s="89"/>
      </tp>
      <tp t="s">
        <v>#N/A Requesting Data...3745276355</v>
        <stp/>
        <stp>BDP|14708527546846978837</stp>
        <tr r="F22" s="446"/>
      </tp>
      <tp t="s">
        <v>#N/A Requesting Data...3510255819</v>
        <stp/>
        <stp>BDP|12337137619150278925</stp>
        <tr r="D75" s="89"/>
      </tp>
      <tp t="s">
        <v>#N/A Requesting Data...4178787514</v>
        <stp/>
        <stp>BDP|17382508591454336498</stp>
        <tr r="F10" s="446"/>
      </tp>
      <tp t="s">
        <v>#N/A Requesting Data...3167677035</v>
        <stp/>
        <stp>BDP|15393992280169008616</stp>
        <tr r="F24" s="446"/>
      </tp>
      <tp t="s">
        <v>#N/A Requesting Data...3237423640</v>
        <stp/>
        <stp>BDP|12121219619853279905</stp>
        <tr r="F28" s="2"/>
        <tr r="F29" s="2"/>
      </tp>
      <tp t="s">
        <v>#N/A Requesting Data...3579276519</v>
        <stp/>
        <stp>BDP|10256865635189905931</stp>
        <tr r="AC29" s="1"/>
        <tr r="AC30" s="1"/>
        <tr r="D26" s="446"/>
      </tp>
      <tp t="s">
        <v>#N/A Requesting Data...3192809955</v>
        <stp/>
        <stp>BDP|16456696081243656014</stp>
        <tr r="E237" s="89"/>
      </tp>
      <tp t="s">
        <v>#N/A Requesting Data...3653136291</v>
        <stp/>
        <stp>BDP|16326536432018842310</stp>
        <tr r="E102" s="89"/>
      </tp>
      <tp t="s">
        <v>#N/A Requesting Data...4113470889</v>
        <stp/>
        <stp>BDP|14305045698741171731</stp>
        <tr r="AD15" s="2"/>
      </tp>
      <tp t="s">
        <v>#N/A Requesting Data...3389409170</v>
        <stp/>
        <stp>BDP|14887468834599796117</stp>
        <tr r="D82" s="89"/>
        <tr r="E7" s="2"/>
      </tp>
      <tp t="s">
        <v>#N/A Requesting Data...3679426838</v>
        <stp/>
        <stp>BDP|10846290148809317467</stp>
        <tr r="T47" s="338"/>
      </tp>
      <tp t="s">
        <v>#N/A Requesting Data...4077414618</v>
        <stp/>
        <stp>BDP|17908300451053627923</stp>
        <tr r="C15" s="2"/>
      </tp>
      <tp t="s">
        <v>#N/A N/A</v>
        <stp/>
        <stp>BDP|15319109960459527098</stp>
        <tr r="AC8" s="2"/>
      </tp>
      <tp t="s">
        <v>#N/A Requesting Data...3411539093</v>
        <stp/>
        <stp>BDP|17608537068508318716</stp>
        <tr r="AK15" s="338"/>
        <tr r="AK16" s="338"/>
        <tr r="AK17" s="338"/>
        <tr r="AK38" s="338"/>
        <tr r="AK39" s="338"/>
        <tr r="AK44" s="338"/>
        <tr r="AK52" s="338"/>
      </tp>
      <tp t="s">
        <v>#N/A Requesting Data...3020522703</v>
        <stp/>
        <stp>BDP|11569977534954801402</stp>
        <tr r="D63" s="89"/>
      </tp>
      <tp t="s">
        <v>#N/A Requesting Data...3431494623</v>
        <stp/>
        <stp>BDP|14945010294650760658</stp>
        <tr r="L37" s="338"/>
        <tr r="H37" s="338"/>
      </tp>
      <tp t="s">
        <v>#N/A Requesting Data...3926767727</v>
        <stp/>
        <stp>BDP|12625403616855824991</stp>
        <tr r="AB60" s="1"/>
        <tr r="F15" s="446"/>
      </tp>
      <tp t="s">
        <v>#N/A Requesting Data...3237877972</v>
        <stp/>
        <stp>BDP|14416377574372571935</stp>
        <tr r="D101" s="89"/>
      </tp>
      <tp t="s">
        <v>#N/A Requesting Data...3103672807</v>
        <stp/>
        <stp>BDP|10942621120688011798</stp>
        <tr r="V55" s="338"/>
      </tp>
      <tp t="s">
        <v>#N/A Requesting Data...3470998681</v>
        <stp/>
        <stp>BDP|14853590894083718008</stp>
        <tr r="V12" s="338"/>
      </tp>
      <tp t="s">
        <v>#N/A Requesting Data...3597668599</v>
        <stp/>
        <stp>BDP|13154673264950579831</stp>
        <tr r="P8" s="338"/>
      </tp>
      <tp t="s">
        <v>#N/A Requesting Data...3520111424</v>
        <stp/>
        <stp>BDP|18352383299971018866</stp>
        <tr r="V96" s="89"/>
      </tp>
      <tp t="s">
        <v>#N/A Requesting Data...4098603350</v>
        <stp/>
        <stp>BDP|10865582194811567656</stp>
        <tr r="C170" s="89"/>
      </tp>
      <tp t="s">
        <v>#N/A Requesting Data...4256513009</v>
        <stp/>
        <stp>BDP|15688519024610633913</stp>
        <tr r="C25" s="2"/>
      </tp>
      <tp t="s">
        <v>#N/A Requesting Data...4028031606</v>
        <stp/>
        <stp>BDP|18149202901248495937</stp>
        <tr r="AH8" s="338"/>
        <tr r="AH9" s="338"/>
      </tp>
      <tp t="s">
        <v>#N/A Requesting Data...3980774537</v>
        <stp/>
        <stp>BDP|17812279814258546797</stp>
        <tr r="U12" s="338"/>
      </tp>
      <tp t="s">
        <v>#N/A Requesting Data...3374938125</v>
        <stp/>
        <stp>BDP|12161543186737336378</stp>
        <tr r="E75" s="89"/>
      </tp>
      <tp t="s">
        <v>#N/A Requesting Data...3505264010</v>
        <stp/>
        <stp>BDP|11149059780695632755</stp>
        <tr r="AD30" s="2"/>
      </tp>
      <tp t="s">
        <v>#N/A Requesting Data...3704440179</v>
        <stp/>
        <stp>BDP|16354487536428919237</stp>
        <tr r="P36" s="338"/>
      </tp>
      <tp t="s">
        <v>#N/A Requesting Data...4100032436</v>
        <stp/>
        <stp>BDP|12938986196201541855</stp>
        <tr r="T9" s="338"/>
      </tp>
      <tp t="s">
        <v>#N/A Requesting Data...3326081572</v>
        <stp/>
        <stp>BDP|18310370530802529175</stp>
        <tr r="E6" s="2"/>
      </tp>
      <tp t="e">
        <v>#N/A</v>
        <stp/>
        <stp>BDH|17490573987015595441</stp>
        <tr r="AM14" s="338"/>
        <tr r="AM35" s="338"/>
      </tp>
      <tp t="e">
        <v>#N/A</v>
        <stp/>
        <stp>BDH|12736684583541829617</stp>
        <tr r="AU45" s="338"/>
      </tp>
      <tp t="s">
        <v>#N/A Requesting Data...3729815286</v>
        <stp/>
        <stp>BDP|16382697175628205742</stp>
        <tr r="K2" s="2"/>
        <tr r="J1" s="24"/>
      </tp>
      <tp t="s">
        <v>#N/A Requesting Data...3883035799</v>
        <stp/>
        <stp>BDP|15424437415758390085</stp>
        <tr r="C20" s="2"/>
      </tp>
      <tp t="s">
        <v>#N/A N/A</v>
        <stp/>
        <stp>BDP|12568958234819466988</stp>
        <tr r="AI28" s="1"/>
      </tp>
      <tp t="s">
        <v>#N/A Requesting Data...3799193978</v>
        <stp/>
        <stp>BDP|14534507482414865574</stp>
        <tr r="AF58" s="1"/>
        <tr r="AF59" s="1"/>
        <tr r="AF17" s="338"/>
        <tr r="AF18" s="338"/>
      </tp>
      <tp t="s">
        <v>#N/A Requesting Data...3258251529</v>
        <stp/>
        <stp>BDP|16511882260345240571</stp>
        <tr r="C81" s="89"/>
        <tr r="D6" s="2"/>
      </tp>
      <tp t="s">
        <v>#N/A Requesting Data...3479490263</v>
        <stp/>
        <stp>BDP|18104805924642791891</stp>
        <tr r="AK9" s="338"/>
      </tp>
      <tp t="s">
        <v>#N/A N/A</v>
        <stp/>
        <stp>BDP|11826078532009062376</stp>
        <tr r="K44" s="1"/>
      </tp>
      <tp t="s">
        <v>#N/A Requesting Data...3570872672</v>
        <stp/>
        <stp>BDP|18319033186521864931</stp>
        <tr r="T224" s="89"/>
      </tp>
      <tp t="s">
        <v>#N/A Requesting Data...3636880543</v>
        <stp/>
        <stp>BDP|12992476192953320421</stp>
        <tr r="AA205" s="89"/>
        <tr r="Z205" s="89"/>
      </tp>
      <tp t="s">
        <v>#N/A Requesting Data...3848725835</v>
        <stp/>
        <stp>BDP|11421352885480139296</stp>
        <tr r="AK18" s="338"/>
      </tp>
      <tp t="s">
        <v>#N/A Requesting Data...3896416515</v>
        <stp/>
        <stp>BDP|14368247967240567849</stp>
        <tr r="AK48" s="338"/>
        <tr r="AK49" s="338"/>
      </tp>
      <tp t="s">
        <v>#N/A N/A</v>
        <stp/>
        <stp>BDP|14349475688053402391</stp>
        <tr r="AV28" s="2"/>
        <tr r="AV29" s="2"/>
      </tp>
      <tp t="s">
        <v>#N/A N/A</v>
        <stp/>
        <stp>BDP|18355353104331140221</stp>
        <tr r="E6" s="1"/>
      </tp>
      <tp t="s">
        <v>#N/A Requesting Data...3065486297</v>
        <stp/>
        <stp>BDP|14339764599746958441</stp>
        <tr r="L14" s="252"/>
        <tr r="L14" s="252"/>
      </tp>
      <tp t="s">
        <v>#N/A N/A</v>
        <stp/>
        <stp>BDP|15808701373659965426</stp>
        <tr r="J5" s="1"/>
      </tp>
      <tp t="s">
        <v>#N/A N/A</v>
        <stp/>
        <stp>BDP|14333446092864583503</stp>
        <tr r="AI37" s="1"/>
      </tp>
      <tp t="s">
        <v>#N/A Requesting Data...3232055716</v>
        <stp/>
        <stp>BDP|13273727322169541747</stp>
        <tr r="S31" s="338"/>
      </tp>
      <tp t="s">
        <v>#N/A Requesting Data...4128525056</v>
        <stp/>
        <stp>BDP|18059086409648276807</stp>
        <tr r="X13" s="338"/>
      </tp>
      <tp t="s">
        <v>#N/A Requesting Data...4091087934</v>
        <stp/>
        <stp>BDP|14077436120512876887</stp>
        <tr r="AH14" s="338"/>
        <tr r="AH35" s="338"/>
      </tp>
      <tp t="s">
        <v>#N/A Requesting Data...3731478684</v>
        <stp/>
        <stp>BDP|15744958059654008590</stp>
        <tr r="M11" s="252"/>
      </tp>
      <tp t="s">
        <v>#N/A N/A</v>
        <stp/>
        <stp>BDP|14193912875747069575</stp>
        <tr r="AC37" s="1"/>
      </tp>
      <tp t="s">
        <v>#N/A Requesting Data...3255254823</v>
        <stp/>
        <stp>BDP|10582584518565757974</stp>
        <tr r="C153" s="89"/>
      </tp>
      <tp t="s">
        <v>#N/A Requesting Data...4117348802</v>
        <stp/>
        <stp>BDP|13690707356499397067</stp>
        <tr r="AG42" s="338"/>
      </tp>
      <tp t="s">
        <v>#N/A Requesting Data...3122674928</v>
        <stp/>
        <stp>BDP|14963661421771813935</stp>
        <tr r="D76" s="89"/>
        <tr r="E23" s="2"/>
      </tp>
      <tp t="s">
        <v>#N/A Requesting Data...3368983996</v>
        <stp/>
        <stp>BDP|12538321051928445466</stp>
        <tr r="AR16" s="2"/>
      </tp>
      <tp t="s">
        <v>#N/A Requesting Data...3118672248</v>
        <stp/>
        <stp>BDP|13052160308013823928</stp>
        <tr r="L16" s="252"/>
        <tr r="L16" s="252"/>
      </tp>
      <tp t="s">
        <v>#N/A Requesting Data...3668995505</v>
        <stp/>
        <stp>BDP|10630112845779481422</stp>
        <tr r="T8" s="338"/>
      </tp>
      <tp t="s">
        <v>#N/A N/A</v>
        <stp/>
        <stp>BDP|11209184266078842639</stp>
        <tr r="AC24" s="1"/>
      </tp>
      <tp t="s">
        <v>#N/A Requesting Data...4165164405</v>
        <stp/>
        <stp>BDP|14264052336898754717</stp>
        <tr r="T14" s="89"/>
        <tr r="T171" s="89"/>
        <tr r="T27" s="89"/>
      </tp>
      <tp t="s">
        <v>#N/A N/A</v>
        <stp/>
        <stp>BDP|11792150875749844688</stp>
        <tr r="AB101" s="89"/>
        <tr r="AB102" s="89"/>
        <tr r="AB95" s="89"/>
        <tr r="AB96" s="89"/>
      </tp>
      <tp t="s">
        <v>#N/A Requesting Data...3617684727</v>
        <stp/>
        <stp>BDP|18091505366056640561</stp>
        <tr r="D69" s="89"/>
      </tp>
      <tp t="s">
        <v>#N/A Requesting Data...3397359548</v>
        <stp/>
        <stp>BDP|17203212740478165145</stp>
        <tr r="AA195" s="89"/>
        <tr r="Z195" s="89"/>
      </tp>
      <tp t="e">
        <v>#N/A</v>
        <stp/>
        <stp>BDH|14919345463840255973</stp>
        <tr r="AN36" s="338"/>
      </tp>
      <tp t="s">
        <v>#N/A Real Time</v>
        <stp/>
        <stp>BDP|3928061582338749570|22</stp>
        <stp>MRYWZ4C4 2390 Index</stp>
        <stp>bid</stp>
        <tr r="K129" s="89"/>
      </tp>
      <tp>
        <v>0.38913023471832275</v>
        <stp/>
        <stp>BDP|10080332628046700882|22</stp>
        <stp>NVDA US 05/15/26 C200 Equity</stp>
        <stp>DELTA_MID_RT</stp>
        <tr r="AF8" s="2"/>
      </tp>
      <tp>
        <v>31.45</v>
        <stp/>
        <stp>BDP|1262865218775301973|22</stp>
        <stp>GOOG US 07/17/26 C350 Equity</stp>
        <stp>ask</stp>
        <tr r="L236" s="89"/>
      </tp>
      <tp>
        <v>0.28936141729354858</v>
        <stp/>
        <stp>BDP|12751338922919034266|22</stp>
        <stp>MSFT US 07/17/26 C470 Equity</stp>
        <stp>DELTA_MID_RT</stp>
        <tr r="W235" s="89"/>
      </tp>
      <tp t="s">
        <v>#N/A N/A</v>
        <stp/>
        <stp>BDP|14228839741476914704</stp>
        <tr r="AF61" s="1"/>
      </tp>
      <tp t="s">
        <v>#N/A Requesting Data...4081319793</v>
        <stp/>
        <stp>BDP|13108014284305863746</stp>
        <tr r="AH29" s="338"/>
        <tr r="AH30" s="338"/>
        <tr r="AJ29" s="338"/>
        <tr r="AJ30" s="338"/>
      </tp>
      <tp t="s">
        <v>#N/A Requesting Data...3637400870</v>
        <stp/>
        <stp>BDP|16161490436721422919</stp>
        <tr r="D19" s="89"/>
      </tp>
      <tp t="s">
        <v>#N/A Requesting Data...3932069334</v>
        <stp/>
        <stp>BDP|18084144309549296940</stp>
        <tr r="X46" s="338"/>
      </tp>
      <tp t="s">
        <v>#N/A Requesting Data...3615057473</v>
        <stp/>
        <stp>BDP|14080496093764135415</stp>
        <tr r="P8" s="252"/>
      </tp>
      <tp t="s">
        <v>#N/A Requesting Data...3683223333</v>
        <stp/>
        <stp>BDP|10379287684220430311</stp>
        <tr r="F4" s="2"/>
      </tp>
      <tp t="s">
        <v>#N/A Requesting Data...3592088073</v>
        <stp/>
        <stp>BDP|15959271808308527692</stp>
        <tr r="V14" s="89"/>
        <tr r="V171" s="89"/>
        <tr r="V27" s="89"/>
      </tp>
      <tp t="s">
        <v>#N/A Requesting Data...3229371350</v>
        <stp/>
        <stp>BDP|13667922398723991985</stp>
        <tr r="O8" s="252"/>
      </tp>
      <tp t="s">
        <v>#N/A N/A</v>
        <stp/>
        <stp>BDP|18125340039793501241</stp>
        <tr r="AC36" s="1"/>
      </tp>
      <tp t="s">
        <v>#N/A Requesting Data...3169211713</v>
        <stp/>
        <stp>BDP|10669609054893745987</stp>
        <tr r="O8" s="89"/>
        <tr r="T21" s="2"/>
      </tp>
      <tp t="s">
        <v>#N/A Requesting Data...4240115680</v>
        <stp/>
        <stp>BDP|14804043862572092927</stp>
        <tr r="D33" s="89"/>
      </tp>
      <tp t="s">
        <v>#N/A Requesting Data...4051027547</v>
        <stp/>
        <stp>BDP|11569233714862664985</stp>
        <tr r="E14" s="2"/>
      </tp>
      <tp t="s">
        <v>#N/A Requesting Data...3118055144</v>
        <stp/>
        <stp>BDP|15503790003338181325</stp>
        <tr r="T204" s="89"/>
        <tr r="AA10" s="2"/>
      </tp>
      <tp t="s">
        <v>#N/A Requesting Data...3609315693</v>
        <stp/>
        <stp>BDP|16922257546430083956</stp>
        <tr r="E9" s="2"/>
      </tp>
      <tp t="s">
        <v>#N/A Requesting Data...3865791210</v>
        <stp/>
        <stp>BDP|14084731383605893774</stp>
        <tr r="T30" s="338"/>
      </tp>
      <tp t="s">
        <v>#N/A Requesting Data...3528499684</v>
        <stp/>
        <stp>BDP|17920955902274781369</stp>
        <tr r="AK13" s="338"/>
      </tp>
      <tp t="s">
        <v>#N/A Requesting Data...3627845555</v>
        <stp/>
        <stp>BDP|15814817125237185133</stp>
        <tr r="AK11" s="338"/>
      </tp>
      <tp t="s">
        <v>#N/A Requesting Data...4139415917</v>
        <stp/>
        <stp>BDP|10683822754613362720</stp>
        <tr r="C89" s="89"/>
      </tp>
      <tp t="s">
        <v>#N/A Requesting Data...4067251675</v>
        <stp/>
        <stp>BDP|10681032632743642903</stp>
        <tr r="AR28" s="2"/>
        <tr r="AR29" s="2"/>
      </tp>
      <tp t="s">
        <v>#N/A Requesting Data...4223590240</v>
        <stp/>
        <stp>BDP|14905890171093180111</stp>
        <tr r="U18" s="338"/>
      </tp>
      <tp t="s">
        <v>#N/A Requesting Data...3617191737</v>
        <stp/>
        <stp>BDP|11079602305746428808</stp>
        <tr r="O188" s="89"/>
      </tp>
      <tp t="s">
        <v>#N/A N/A</v>
        <stp/>
        <stp>BDP|15676788515242812821</stp>
        <tr r="R153" s="89"/>
      </tp>
      <tp t="s">
        <v>#N/A Requesting Data...4000311342</v>
        <stp/>
        <stp>BDP|17719503394081403362</stp>
        <tr r="AH37" s="338"/>
        <tr r="AJ37" s="338"/>
      </tp>
      <tp t="s">
        <v>#N/A N/A</v>
        <stp/>
        <stp>BDP|18279909896309755834</stp>
        <tr r="AG14" s="1"/>
      </tp>
      <tp t="s">
        <v>#N/A Requesting Data...3772790373</v>
        <stp/>
        <stp>BDP|12571041380342291138</stp>
        <tr r="F34" s="446"/>
      </tp>
      <tp t="s">
        <v>#N/A N/A</v>
        <stp/>
        <stp>BDP|14378960337990766762</stp>
        <tr r="K46" s="1"/>
      </tp>
      <tp t="s">
        <v>#N/A N/A</v>
        <stp/>
        <stp>BDP|18294824894201725105</stp>
        <tr r="AC24" s="2"/>
        <tr r="AC25" s="2"/>
        <tr r="AC26" s="2"/>
        <tr r="AC27" s="2"/>
      </tp>
      <tp t="s">
        <v>#N/A Requesting Data...3303445668</v>
        <stp/>
        <stp>BDP|16648478878978208488</stp>
        <tr r="O178" s="89"/>
        <tr r="O179" s="89"/>
      </tp>
      <tp t="s">
        <v>#N/A Requesting Data...3983399138</v>
        <stp/>
        <stp>BDP|13659806942011456735</stp>
        <tr r="P7" s="252"/>
      </tp>
      <tp t="s">
        <v>#N/A Requesting Data...3573293408</v>
        <stp/>
        <stp>BDP|18096821285957052647</stp>
        <tr r="F18" s="446"/>
      </tp>
      <tp t="s">
        <v>#N/A Requesting Data...3732563938</v>
        <stp/>
        <stp>BDP|15656413080994607429</stp>
        <tr r="AA13" s="89"/>
        <tr r="Z13" s="89"/>
      </tp>
      <tp t="s">
        <v>#N/A Requesting Data...3179087146</v>
        <stp/>
        <stp>BDP|13020371554755200921</stp>
        <tr r="V7" s="89"/>
        <tr r="AD20" s="2"/>
      </tp>
      <tp t="s">
        <v>#N/A Requesting Data...3500803348</v>
        <stp/>
        <stp>BDP|17046967805152979583</stp>
        <tr r="V89" s="89"/>
      </tp>
      <tp t="s">
        <v>#N/A N/A</v>
        <stp/>
        <stp>BDP|12912684483811638411</stp>
        <tr r="L35" s="1"/>
        <tr r="L36" s="1"/>
        <tr r="L37" s="1"/>
      </tp>
      <tp t="s">
        <v>#N/A Requesting Data...4150493476</v>
        <stp/>
        <stp>BDP|17800905748963418018</stp>
        <tr r="V52" s="338"/>
      </tp>
      <tp t="s">
        <v>#N/A Requesting Data...3533351455</v>
        <stp/>
        <stp>BDP|16080473360335288805</stp>
        <tr r="AF29" s="1"/>
        <tr r="AF30" s="1"/>
        <tr r="AF10" s="338"/>
        <tr r="AF11" s="338"/>
        <tr r="AF33" s="338"/>
      </tp>
      <tp t="s">
        <v>#N/A Requesting Data...3989931486</v>
        <stp/>
        <stp>BDP|10266278304482033950</stp>
        <tr r="AR19" s="2"/>
      </tp>
      <tp t="s">
        <v>#N/A Requesting Data...3566557910</v>
        <stp/>
        <stp>BDP|18082660766744672526</stp>
        <tr r="X34" s="338"/>
      </tp>
      <tp t="s">
        <v>#N/A Requesting Data...4089831959</v>
        <stp/>
        <stp>BDP|16257040632264100814</stp>
        <tr r="V237" s="89"/>
      </tp>
      <tp t="s">
        <v>#N/A N/A</v>
        <stp/>
        <stp>BDP|17620015100226350806</stp>
        <tr r="AG31" s="1"/>
        <tr r="AG32" s="1"/>
      </tp>
      <tp t="s">
        <v>#N/A Requesting Data...3736472378</v>
        <stp/>
        <stp>BDP|17113464131298207134</stp>
        <tr r="O6" s="252"/>
      </tp>
      <tp t="s">
        <v>#N/A Requesting Data...3439871293</v>
        <stp/>
        <stp>BDP|16284628867238126714</stp>
        <tr r="AD14" s="2"/>
      </tp>
      <tp t="s">
        <v>#N/A Requesting Data...3583044552</v>
        <stp/>
        <stp>BDP|13465906218584984636</stp>
        <tr r="U48" s="338"/>
      </tp>
      <tp t="s">
        <v>#N/A Requesting Data...3310354941</v>
        <stp/>
        <stp>BDP|16612962228111822562</stp>
        <tr r="AR30" s="2"/>
      </tp>
      <tp t="e">
        <v>#N/A</v>
        <stp/>
        <stp>BDH|14203193177743954858</stp>
        <tr r="AM31" s="338"/>
        <tr r="AM32" s="338"/>
      </tp>
      <tp t="e">
        <v>#N/A</v>
        <stp/>
        <stp>BDH|15640594282054107515</stp>
        <tr r="AR18" s="338"/>
      </tp>
      <tp t="s">
        <v>USD</v>
        <stp/>
        <stp>BDP|2865182875151915662|22</stp>
        <stp>1OG6P 25750 INDEX</stp>
        <stp>QUOTED_CURRENCY_REALTIME</stp>
        <tr r="G28" s="2"/>
        <tr r="G29" s="2"/>
      </tp>
      <tp t="s">
        <v>#N/A Requesting Data...3763230653</v>
        <stp/>
        <stp>BDP|13370676866274995925</stp>
        <tr r="V29" s="338"/>
      </tp>
      <tp t="s">
        <v>#N/A Requesting Data...3691198603</v>
        <stp/>
        <stp>BDP|16549461050648260185</stp>
        <tr r="V48" s="338"/>
      </tp>
      <tp t="s">
        <v>#N/A Requesting Data...3362632017</v>
        <stp/>
        <stp>BDP|14539375968436522979</stp>
        <tr r="F26" s="2"/>
        <tr r="F27" s="2"/>
      </tp>
      <tp t="s">
        <v>#N/A Requesting Data...4221051557</v>
        <stp/>
        <stp>BDP|11883811462826271727</stp>
        <tr r="AI13" s="338"/>
        <tr r="AK13" s="338"/>
      </tp>
      <tp t="s">
        <v>#N/A Requesting Data...4017614998</v>
        <stp/>
        <stp>BDP|15816931278674113197</stp>
        <tr r="C4" s="2"/>
      </tp>
      <tp t="s">
        <v>#N/A Requesting Data...3294546277</v>
        <stp/>
        <stp>BDP|16651632599577766000</stp>
        <tr r="T20" s="89"/>
      </tp>
      <tp t="s">
        <v>#N/A Requesting Data...4274252821</v>
        <stp/>
        <stp>BDP|10068227258378275126</stp>
        <tr r="Q45" s="338"/>
      </tp>
      <tp t="s">
        <v>#N/A N/A</v>
        <stp/>
        <stp>BDP|15466705637537159880</stp>
        <tr r="AF12" s="1"/>
      </tp>
      <tp t="s">
        <v>#N/A Requesting Data...4212038956</v>
        <stp/>
        <stp>BDP|13773404769917079849</stp>
        <tr r="X41" s="338"/>
      </tp>
      <tp t="s">
        <v>#N/A Requesting Data...3256146981</v>
        <stp/>
        <stp>BDP|17094237872549842544</stp>
        <tr r="P11" s="338"/>
      </tp>
      <tp t="s">
        <v>#N/A Requesting Data...3443092580</v>
        <stp/>
        <stp>BDP|11238984157816656563</stp>
        <tr r="O211" s="89"/>
      </tp>
      <tp t="s">
        <v>#N/A Requesting Data...3549227844</v>
        <stp/>
        <stp>BDP|17894084826469233293</stp>
        <tr r="D14" s="2"/>
      </tp>
      <tp t="s">
        <v>#N/A Requesting Data...3765650446</v>
        <stp/>
        <stp>BDP|16326348528261420875</stp>
        <tr r="AH37" s="338"/>
      </tp>
      <tp t="s">
        <v>#N/A N/A</v>
        <stp/>
        <stp>BDP|11170680940269324462</stp>
        <tr r="K37" s="1"/>
      </tp>
      <tp t="s">
        <v>#N/A Requesting Data...4152782696</v>
        <stp/>
        <stp>BDP|10451152526259046483</stp>
        <tr r="AR23" s="2"/>
      </tp>
      <tp t="s">
        <v>#N/A N/A</v>
        <stp/>
        <stp>BDP|14902852357240652727</stp>
        <tr r="J1" s="1"/>
      </tp>
      <tp t="s">
        <v>#N/A Requesting Data...3916171244</v>
        <stp/>
        <stp>BDP|10719787797623635315</stp>
        <tr r="AR9" s="2"/>
      </tp>
      <tp t="s">
        <v>#N/A Requesting Data...3478845253</v>
        <stp/>
        <stp>BDP|17255225148738161764</stp>
        <tr r="E12" s="2"/>
        <tr r="E13" s="2"/>
      </tp>
      <tp t="s">
        <v>#N/A Requesting Data...3719157737</v>
        <stp/>
        <stp>BDP|12942600097452969197</stp>
        <tr r="AI30" s="338"/>
      </tp>
      <tp t="s">
        <v>#N/A Requesting Data...4262610756</v>
        <stp/>
        <stp>BDP|11004855748816491574</stp>
        <tr r="AA145" s="89"/>
        <tr r="Z145" s="89"/>
      </tp>
      <tp t="s">
        <v>#N/A Requesting Data...3700389153</v>
        <stp/>
        <stp>BDP|13321932753372613352</stp>
        <tr r="S50" s="338"/>
      </tp>
      <tp t="s">
        <v>#N/A N/A</v>
        <stp/>
        <stp>BDP|14026845325197194708</stp>
        <tr r="AB38" s="1"/>
        <tr r="AB39" s="1"/>
      </tp>
      <tp t="s">
        <v>#N/A Requesting Data...3305174449</v>
        <stp/>
        <stp>BDP|18139099943730098283</stp>
        <tr r="X42" s="338"/>
      </tp>
      <tp t="s">
        <v>#N/A Requesting Data...3709533432</v>
        <stp/>
        <stp>BDP|14818954946994919376</stp>
        <tr r="T55" s="338"/>
      </tp>
      <tp t="s">
        <v>#N/A Requesting Data...3672292054</v>
        <stp/>
        <stp>BDP|11472567326890864896</stp>
        <tr r="C82" s="89"/>
        <tr r="D7" s="2"/>
      </tp>
      <tp t="s">
        <v>#N/A Requesting Data...3997065660</v>
        <stp/>
        <stp>BDP|16547593626468626792</stp>
        <tr r="V90" s="89"/>
      </tp>
      <tp t="s">
        <v>#N/A Requesting Data...4017142395</v>
        <stp/>
        <stp>BDP|12254931781748441511</stp>
        <tr r="AA4" s="2"/>
      </tp>
      <tp t="s">
        <v>#N/A N/A</v>
        <stp/>
        <stp>BDP|16747972762296741126</stp>
        <tr r="AF38" s="1"/>
        <tr r="AF39" s="1"/>
      </tp>
      <tp t="s">
        <v>#N/A Requesting Data...3777187306</v>
        <stp/>
        <stp>BDP|10277773846639500409</stp>
        <tr r="E225" s="89"/>
      </tp>
      <tp t="s">
        <v>#N/A Requesting Data...3910985106</v>
        <stp/>
        <stp>BDP|15391597190645842246</stp>
        <tr r="U41" s="338"/>
      </tp>
      <tp t="s">
        <v>#N/A N/A</v>
        <stp/>
        <stp>BDP|16966852497278566182</stp>
        <tr r="J6" s="1"/>
      </tp>
      <tp t="s">
        <v>#N/A Requesting Data...3327782896</v>
        <stp/>
        <stp>BDP|17406138106720188867</stp>
        <tr r="F6" s="2"/>
      </tp>
      <tp t="e">
        <v>#N/A</v>
        <stp/>
        <stp>BDH|17264071085893825204</stp>
        <tr r="AS12" s="338"/>
      </tp>
      <tp t="e">
        <v>#N/A</v>
        <stp/>
        <stp>BDH|10104491413598293355</stp>
        <tr r="AS18" s="338"/>
      </tp>
      <tp t="e">
        <v>#N/A</v>
        <stp/>
        <stp>BDH|14764590395753172567</stp>
        <tr r="AU29" s="338"/>
      </tp>
      <tp>
        <v>0.46645155549049377</v>
        <stp/>
        <stp>BDP|18110796337974702583|22</stp>
        <stp>AVGO US 06/18/26 C350 Equity</stp>
        <stp>DELTA_MID_RT</stp>
        <tr r="AF5" s="2"/>
        <tr r="W223" s="89"/>
      </tp>
      <tp>
        <v>-0.46835070848464966</v>
        <stp/>
        <stp>BDP|13664804564066341271|22</stp>
        <stp>MSFT US 02/20/26 P410 Equity</stp>
        <stp>DELTA_MID_RT</stp>
        <tr r="W213" s="89"/>
      </tp>
      <tp t="s">
        <v>#N/A N/A</v>
        <stp/>
        <stp>BDP|14736502366221001988</stp>
        <tr r="AG27" s="1"/>
      </tp>
      <tp t="s">
        <v>#N/A Requesting Data...3679475798</v>
        <stp/>
        <stp>BDP|14590387959435843851</stp>
        <tr r="P18" s="252"/>
      </tp>
      <tp t="s">
        <v>#N/A Requesting Data...3793634862</v>
        <stp/>
        <stp>BDP|11647623474426955905</stp>
        <tr r="D34" s="89"/>
      </tp>
      <tp t="s">
        <v>#N/A N/A</v>
        <stp/>
        <stp>BDP|14914344056878476575</stp>
        <tr r="K1" s="2"/>
      </tp>
      <tp t="s">
        <v>#N/A Requesting Data...3651617624</v>
        <stp/>
        <stp>BDP|12898533952458343524</stp>
        <tr r="T153" s="89"/>
      </tp>
      <tp t="s">
        <v>#N/A Requesting Data...3275654293</v>
        <stp/>
        <stp>BDP|13791594013149475126</stp>
        <tr r="M13" s="252"/>
      </tp>
      <tp t="s">
        <v>#N/A Requesting Data...3580094333</v>
        <stp/>
        <stp>BDP|17874986578052725446</stp>
        <tr r="P50" s="338"/>
      </tp>
      <tp t="s">
        <v>#N/A N/A</v>
        <stp/>
        <stp>BDP|13719327490656774082</stp>
        <tr r="K54" s="1"/>
      </tp>
      <tp t="s">
        <v>#N/A N/A</v>
        <stp/>
        <stp>BDP|12067346968488625077</stp>
        <tr r="N9" s="1"/>
      </tp>
      <tp t="s">
        <v>#N/A Requesting Data...3198511710</v>
        <stp/>
        <stp>BDP|16409736918268434763</stp>
        <tr r="V8" s="89"/>
        <tr r="AD21" s="2"/>
      </tp>
      <tp t="s">
        <v>#N/A Requesting Data...3604309920</v>
        <stp/>
        <stp>BDP|12930748263249803590</stp>
        <tr r="V47" s="338"/>
      </tp>
      <tp t="s">
        <v>#N/A Requesting Data...3686056037</v>
        <stp/>
        <stp>BDP|10458872348380612322</stp>
        <tr r="D32" s="446"/>
      </tp>
      <tp t="s">
        <v>#N/A Requesting Data...3671224498</v>
        <stp/>
        <stp>BDP|17591857746666872206</stp>
        <tr r="T233" s="89"/>
      </tp>
      <tp t="s">
        <v>#N/A Requesting Data...3888457045</v>
        <stp/>
        <stp>BDP|17326978713770046094</stp>
        <tr r="V213" s="89"/>
      </tp>
      <tp t="s">
        <v>#N/A Requesting Data...4029373981</v>
        <stp/>
        <stp>BDP|11607763991426641696</stp>
        <tr r="O180" s="89"/>
      </tp>
      <tp t="s">
        <v>#N/A N/A</v>
        <stp/>
        <stp>BDP|12446616610012704839</stp>
        <tr r="AF14" s="1"/>
      </tp>
      <tp t="s">
        <v>#N/A Requesting Data...3646901529</v>
        <stp/>
        <stp>BDP|16111091406080680995</stp>
        <tr r="S20" s="252"/>
      </tp>
      <tp t="s">
        <v>#N/A N/A</v>
        <stp/>
        <stp>BDP|12917284443828342304</stp>
        <tr r="AC58" s="1"/>
        <tr r="AC59" s="1"/>
      </tp>
      <tp t="s">
        <v>#N/A Requesting Data...4116406002</v>
        <stp/>
        <stp>BDP|12565777765454100870</stp>
        <tr r="AK45" s="338"/>
      </tp>
      <tp t="s">
        <v>#N/A Requesting Data...4079689039</v>
        <stp/>
        <stp>BDP|14757904724106470662</stp>
        <tr r="C115" s="89"/>
      </tp>
      <tp t="s">
        <v>#N/A Requesting Data...3960582905</v>
        <stp/>
        <stp>BDP|15520885965692162698</stp>
        <tr r="P35" s="338"/>
      </tp>
      <tp t="s">
        <v>#N/A N/A</v>
        <stp/>
        <stp>BDP|18411820983824502305</stp>
        <tr r="E9" s="1"/>
      </tp>
      <tp t="s">
        <v>#N/A Requesting Data...3850120546</v>
        <stp/>
        <stp>BDP|10592246107754169947</stp>
        <tr r="AR26" s="2"/>
        <tr r="AR27" s="2"/>
      </tp>
      <tp t="s">
        <v>#N/A Requesting Data...3569166270</v>
        <stp/>
        <stp>BDP|18187575182553363942</stp>
        <tr r="S29" s="338"/>
      </tp>
      <tp t="s">
        <v>#N/A N/A</v>
        <stp/>
        <stp>BDP|15088949515073653147</stp>
        <tr r="AI38" s="1"/>
        <tr r="AI39" s="1"/>
      </tp>
      <tp t="s">
        <v>#N/A Requesting Data...3401253756</v>
        <stp/>
        <stp>BDP|12559765690110808384</stp>
        <tr r="L6" s="252"/>
        <tr r="L6" s="252"/>
      </tp>
      <tp t="s">
        <v>#N/A Requesting Data...3863399175</v>
        <stp/>
        <stp>BDP|16650855945696243361</stp>
        <tr r="O235" s="89"/>
      </tp>
      <tp t="s">
        <v>#N/A Requesting Data...3302203209</v>
        <stp/>
        <stp>BDP|10141273456439406166</stp>
        <tr r="U40" s="338"/>
      </tp>
      <tp t="s">
        <v>#N/A Requesting Data...3742163537</v>
        <stp/>
        <stp>BDP|14199088001823505889</stp>
        <tr r="AR7" s="2"/>
      </tp>
      <tp t="s">
        <v>#N/A Requesting Data...3239510157</v>
        <stp/>
        <stp>BDP|15650822721567670765</stp>
        <tr r="AF15" s="338"/>
        <tr r="AF39" s="338"/>
        <tr r="AG40" s="338"/>
      </tp>
      <tp t="s">
        <v>#N/A Requesting Data...3440194414</v>
        <stp/>
        <stp>BDP|10661203894173514722</stp>
        <tr r="P40" s="338"/>
      </tp>
      <tp t="s">
        <v>#N/A Requesting Data...4148673581</v>
        <stp/>
        <stp>BDP|11769411948438232696</stp>
        <tr r="V235" s="89"/>
      </tp>
      <tp t="s">
        <v>#N/A N/A</v>
        <stp/>
        <stp>BDP|13400157600295352875</stp>
        <tr r="AQ4" s="2"/>
      </tp>
      <tp t="s">
        <v>#N/A Requesting Data...4198051527</v>
        <stp/>
        <stp>BDP|16644071595826516655</stp>
        <tr r="M17" s="252"/>
      </tp>
      <tp t="s">
        <v>#N/A Requesting Data...3284145311</v>
        <stp/>
        <stp>BDP|10282731194108712961</stp>
        <tr r="X32" s="338"/>
      </tp>
      <tp t="s">
        <v>#N/A Requesting Data...3442388419</v>
        <stp/>
        <stp>BDP|11825565969849644458</stp>
        <tr r="G26" s="446"/>
      </tp>
      <tp t="s">
        <v>#N/A Requesting Data...4243943950</v>
        <stp/>
        <stp>BDP|12871173848491846983</stp>
        <tr r="D195" s="89"/>
      </tp>
      <tp t="s">
        <v>#N/A N/A</v>
        <stp/>
        <stp>BDP|14068575625905109957</stp>
        <tr r="AV30" s="2"/>
      </tp>
      <tp t="s">
        <v>#N/A N/A</v>
        <stp/>
        <stp>BDP|13477200596854183354</stp>
        <tr r="R236" s="89"/>
      </tp>
      <tp t="s">
        <v>#N/A Requesting Data...3894813439</v>
        <stp/>
        <stp>BDP|10754652992714129477</stp>
        <tr r="E170" s="89"/>
      </tp>
      <tp t="s">
        <v>#N/A Requesting Data...3256713907</v>
        <stp/>
        <stp>BDP|13743925468151835237</stp>
        <tr r="AF60" s="1"/>
        <tr r="AF52" s="338"/>
        <tr r="AF53" s="338"/>
        <tr r="AF54" s="338"/>
      </tp>
      <tp t="e">
        <v>#N/A</v>
        <stp/>
        <stp>BDH|16052703337139343443</stp>
        <tr r="AM17" s="338"/>
        <tr r="AM18" s="338"/>
      </tp>
      <tp t="e">
        <v>#N/A</v>
        <stp/>
        <stp>BDH|15301870027157436707</stp>
        <tr r="W7" s="252"/>
        <tr r="T7" s="252"/>
      </tp>
      <tp t="e">
        <v>#N/A</v>
        <stp/>
        <stp>BDH|14953872399329880377</stp>
        <tr r="AP37" s="338"/>
      </tp>
      <tp t="e">
        <v>#N/A</v>
        <stp/>
        <stp>BDH|13709500369278383708</stp>
        <tr r="J14" s="252"/>
      </tp>
      <tp t="s">
        <v>#N/A Real Time</v>
        <stp/>
        <stp>BDP|17419641080662608643|22</stp>
        <stp>4OK5C 21300 Index</stp>
        <stp>ask</stp>
        <tr r="L115" s="89"/>
      </tp>
      <tp t="s">
        <v>USD</v>
        <stp/>
        <stp>BDP|9800175734147310091|22</stp>
        <stp>NFLX US 05/15/26 P70 Equity</stp>
        <stp>QUOTED_CURRENCY_REALTIME</stp>
        <tr r="F205" s="89"/>
        <tr r="G11" s="2"/>
      </tp>
      <tp>
        <v>0.53027647733688354</v>
        <stp/>
        <stp>BDP|91139731021883834|22</stp>
        <stp>GOOG US 07/17/26 C350 Equity</stp>
        <stp>DELTA_MID_RT</stp>
        <tr r="W236" s="89"/>
      </tp>
      <tp>
        <v>7.4</v>
        <stp/>
        <stp>BDP|7680890729121353321|22</stp>
        <stp>AAPL US 04/17/26 C280 Equity</stp>
        <stp>bid</stp>
        <tr r="P21" s="2"/>
        <tr r="K8" s="89"/>
      </tp>
      <tp t="s">
        <v>#N/A Requesting Data...3599257379</v>
        <stp/>
        <stp>BDP|10663861223040976625</stp>
        <tr r="V153" s="89"/>
      </tp>
      <tp t="s">
        <v>#N/A Requesting Data...3293379294</v>
        <stp/>
        <stp>BDP|10552070608995420954</stp>
        <tr r="O9" s="252"/>
      </tp>
      <tp t="s">
        <v>#N/A Requesting Data...4128648207</v>
        <stp/>
        <stp>BDP|15489180332173336860</stp>
        <tr r="O62" s="89"/>
        <tr r="T16" s="2"/>
      </tp>
      <tp t="s">
        <v>#N/A Requesting Data...4063560534</v>
        <stp/>
        <stp>BDP|16415819239102308353</stp>
        <tr r="P13" s="338"/>
      </tp>
      <tp t="s">
        <v>#N/A Requesting Data...3447935054</v>
        <stp/>
        <stp>BDP|13452975049213023100</stp>
        <tr r="Q34" s="338"/>
      </tp>
      <tp t="s">
        <v>#N/A N/A</v>
        <stp/>
        <stp>BDP|14151613796081423680</stp>
        <tr r="AI14" s="1"/>
      </tp>
      <tp t="s">
        <v>#N/A Requesting Data...3604450677</v>
        <stp/>
        <stp>BDP|16048814305041128389</stp>
        <tr r="AH12" s="338"/>
        <tr r="AJ12" s="338"/>
      </tp>
      <tp t="s">
        <v>#N/A Requesting Data...3870701898</v>
        <stp/>
        <stp>BDP|17315018787765860602</stp>
        <tr r="U29" s="338"/>
      </tp>
      <tp t="s">
        <v>#N/A Requesting Data...3978227554</v>
        <stp/>
        <stp>BDP|11028786820390522815</stp>
        <tr r="AJ50" s="338"/>
        <tr r="AJ51" s="338"/>
        <tr r="AK34" s="338"/>
        <tr r="AK35" s="338"/>
        <tr r="AK36" s="338"/>
        <tr r="AK37" s="338"/>
      </tp>
      <tp t="s">
        <v>#N/A Requesting Data...4166929654</v>
        <stp/>
        <stp>BDP|15549933334837718499</stp>
        <tr r="AJ36" s="338"/>
      </tp>
      <tp t="s">
        <v>#N/A Requesting Data...3392648475</v>
        <stp/>
        <stp>BDP|14126149698553036336</stp>
        <tr r="T82" s="89"/>
        <tr r="AA7" s="2"/>
      </tp>
      <tp t="s">
        <v>#N/A Requesting Data...3404535431</v>
        <stp/>
        <stp>BDP|13021422978704305879</stp>
        <tr r="F33" s="446"/>
      </tp>
      <tp t="s">
        <v>#N/A N/A</v>
        <stp/>
        <stp>BDP|16521478898015424206</stp>
        <tr r="AV12" s="2"/>
        <tr r="AV13" s="2"/>
        <tr r="R13" s="89"/>
        <tr r="R14" s="89"/>
        <tr r="R27" s="89"/>
        <tr r="R169" s="89"/>
        <tr r="R170" s="89"/>
        <tr r="R180" s="89"/>
        <tr r="R233" s="89"/>
        <tr r="R171" s="89"/>
      </tp>
      <tp t="s">
        <v>#N/A Requesting Data...4261305807</v>
        <stp/>
        <stp>BDP|16877024025140252836</stp>
        <tr r="F37" s="446"/>
      </tp>
      <tp t="s">
        <v>#N/A Requesting Data...3272937646</v>
        <stp/>
        <stp>BDP|10608928655856941660</stp>
        <tr r="C21" s="2"/>
      </tp>
      <tp t="s">
        <v>#N/A Requesting Data...3810388614</v>
        <stp/>
        <stp>BDP|11873488141545455841</stp>
        <tr r="AK12" s="338"/>
      </tp>
      <tp t="s">
        <v>#N/A Requesting Data...3609688456</v>
        <stp/>
        <stp>BDP|10918059229437544914</stp>
        <tr r="S14" s="252"/>
      </tp>
      <tp t="s">
        <v>#N/A Requesting Data...4041251810</v>
        <stp/>
        <stp>BDP|17459985945086122091</stp>
        <tr r="F19" s="252"/>
      </tp>
      <tp t="s">
        <v>#N/A Requesting Data...3825901157</v>
        <stp/>
        <stp>BDP|16146881818116826586</stp>
        <tr r="P41" s="338"/>
      </tp>
      <tp t="s">
        <v>#N/A Requesting Data...3548921347</v>
        <stp/>
        <stp>BDP|16305130988474048795</stp>
        <tr r="C24" s="2"/>
      </tp>
      <tp t="s">
        <v>#N/A Requesting Data...4138560593</v>
        <stp/>
        <stp>BDP|15485843473026578068</stp>
        <tr r="U54" s="338"/>
      </tp>
      <tp t="s">
        <v>#N/A Requesting Data...3678236427</v>
        <stp/>
        <stp>BDP|14702322456147385934</stp>
        <tr r="U47" s="338"/>
      </tp>
      <tp t="s">
        <v>#N/A N/A</v>
        <stp/>
        <stp>BDP|10281815271105854697</stp>
        <tr r="K52" s="1"/>
      </tp>
      <tp t="s">
        <v>#N/A Requesting Data...3381656184</v>
        <stp/>
        <stp>BDP|13405037176711243908</stp>
        <tr r="E137" s="89"/>
      </tp>
      <tp t="s">
        <v>#N/A N/A</v>
        <stp/>
        <stp>BDP|17431748397947127250</stp>
        <tr r="AG44" s="1"/>
        <tr r="AG45" s="1"/>
      </tp>
      <tp t="s">
        <v>#N/A Requesting Data...3942717258</v>
        <stp/>
        <stp>BDP|12945955828165458035</stp>
        <tr r="AA96" s="89"/>
        <tr r="Z96" s="89"/>
      </tp>
      <tp t="s">
        <v>#N/A Requesting Data...3795807170</v>
        <stp/>
        <stp>BDP|14217961267851904682</stp>
        <tr r="V62" s="89"/>
        <tr r="AD16" s="2"/>
      </tp>
      <tp t="s">
        <v>#N/A Requesting Data...3898924002</v>
        <stp/>
        <stp>BDP|14508373378954970866</stp>
        <tr r="C204" s="89"/>
        <tr r="D10" s="2"/>
      </tp>
      <tp t="s">
        <v>#N/A Requesting Data...3994326622</v>
        <stp/>
        <stp>BDP|16199643097561563420</stp>
        <tr r="C129" s="89"/>
      </tp>
      <tp t="s">
        <v>#N/A Requesting Data...3407883809</v>
        <stp/>
        <stp>BDP|14259965167551312659</stp>
        <tr r="F8" s="2"/>
      </tp>
      <tp t="s">
        <v>#N/A N/A</v>
        <stp/>
        <stp>BDP|12413850570425657438</stp>
        <tr r="K27" s="1"/>
      </tp>
      <tp t="s">
        <v>#N/A Requesting Data...3822856013</v>
        <stp/>
        <stp>BDP|12674764301591512809</stp>
        <tr r="C213" s="89"/>
      </tp>
      <tp t="s">
        <v>#N/A Requesting Data...3824177755</v>
        <stp/>
        <stp>BDP|14535010240339641566</stp>
        <tr r="T195" s="89"/>
        <tr r="AA24" s="2"/>
      </tp>
      <tp t="s">
        <v>#N/A Requesting Data...3252861826</v>
        <stp/>
        <stp>BDP|12025675637399291269</stp>
        <tr r="O15" s="252"/>
      </tp>
      <tp t="s">
        <v>#N/A Requesting Data...4283179832</v>
        <stp/>
        <stp>BDP|11664873615115482148</stp>
        <tr r="V69" s="89"/>
      </tp>
      <tp t="s">
        <v>#N/A Requesting Data...4240396273</v>
        <stp/>
        <stp>BDP|16474676671129789231</stp>
        <tr r="AF44" s="338"/>
        <tr r="AF47" s="338"/>
        <tr r="AF48" s="338"/>
        <tr r="AG10" s="338"/>
        <tr r="AG53" s="338"/>
      </tp>
      <tp t="s">
        <v>#N/A Requesting Data...4121534377</v>
        <stp/>
        <stp>BDP|10667930917534298063</stp>
        <tr r="T188" s="89"/>
      </tp>
      <tp t="s">
        <v>#N/A Requesting Data...3628133867</v>
        <stp/>
        <stp>BDP|12603143287034451379</stp>
        <tr r="AC25" s="1"/>
        <tr r="AC26" s="1"/>
        <tr r="D27" s="446"/>
      </tp>
      <tp t="s">
        <v>#N/A Requesting Data...4159617133</v>
        <stp/>
        <stp>BDP|10004210412887167840</stp>
        <tr r="D40" s="446"/>
      </tp>
      <tp t="s">
        <v>#N/A Requesting Data...3316259282</v>
        <stp/>
        <stp>BDP|11473760986452741051</stp>
        <tr r="AA75" s="89"/>
        <tr r="Z75" s="89"/>
      </tp>
      <tp t="e">
        <v>#N/A</v>
        <stp/>
        <stp>BDH|13392831222951112430</stp>
        <tr r="J11" s="252"/>
      </tp>
      <tp t="e">
        <v>#N/A</v>
        <stp/>
        <stp>BDH|13381106583263232571</stp>
        <tr r="AU16" s="338"/>
        <tr r="AU15" s="338"/>
        <tr r="AU52" s="338"/>
        <tr r="AU39" s="338"/>
        <tr r="AU44" s="338"/>
        <tr r="AU17" s="338"/>
        <tr r="AU38" s="338"/>
      </tp>
      <tp t="s">
        <v>#N/A Invalid Security</v>
        <stp/>
        <stp>BDP|11076688730849429560|22</stp>
        <stp xml:space="preserve"> Equity</stp>
        <stp>bid</stp>
        <tr r="P2" s="2"/>
        <tr r="K178" s="89"/>
        <tr r="K179" s="89"/>
      </tp>
      <tp t="e">
        <v>#N/A</v>
        <stp/>
        <stp>BDH|13771183792086735159</stp>
        <tr r="AR17" s="338"/>
        <tr r="AR38" s="338"/>
        <tr r="AR39" s="338"/>
        <tr r="AR52" s="338"/>
        <tr r="AR15" s="338"/>
        <tr r="AR16" s="338"/>
        <tr r="AR44" s="338"/>
      </tp>
      <tp>
        <v>-0.34549805521965027</v>
        <stp/>
        <stp>BDP|15300860136715577647|22</stp>
        <stp>AVGO US 06/18/26 P300 Equity</stp>
        <stp>DELTA_MID_RT</stp>
        <tr r="W224" s="89"/>
      </tp>
      <tp>
        <v>435.1</v>
        <stp/>
        <stp>BDP|336164456245703188|22</stp>
        <stp>LITE US Equity</stp>
        <stp>LAST_PRICE</stp>
        <tr r="Z9" s="2"/>
      </tp>
      <tp t="s">
        <v>#N/A Real Time</v>
        <stp/>
        <stp>BDP|4430211455615003459|22</stp>
        <stp>4OX4C    20500 Index</stp>
        <stp>bid</stp>
        <tr r="K108" s="89"/>
      </tp>
      <tp>
        <v>3.3714059740304947E-2</v>
        <stp/>
        <stp>BDP|2598103699700497103|22</stp>
        <stp>NVDA US 02/06/26 C197.5 Equity</stp>
        <stp>DELTA_MID_RT</stp>
        <tr r="W33" s="89"/>
      </tp>
      <tp t="s">
        <v>#N/A Requesting Data...3735691484</v>
        <stp/>
        <stp>BDP|10830436782351213025</stp>
        <tr r="AG13" s="338"/>
      </tp>
      <tp t="s">
        <v>#N/A Requesting Data...3376271249</v>
        <stp/>
        <stp>BDP|16101110071044873900</stp>
        <tr r="S19" s="252"/>
      </tp>
      <tp t="s">
        <v>#N/A Requesting Data...3885301604</v>
        <stp/>
        <stp>BDP|13209846733142548782</stp>
        <tr r="V187" s="89"/>
      </tp>
      <tp t="s">
        <v>#N/A Requesting Data...3943014950</v>
        <stp/>
        <stp>BDP|14933982410419006890</stp>
        <tr r="Q8" s="338"/>
      </tp>
      <tp t="s">
        <v>#N/A Requesting Data...3451215536</v>
        <stp/>
        <stp>BDP|17375751787424053193</stp>
        <tr r="T90" s="89"/>
      </tp>
      <tp t="s">
        <v>#N/A Requesting Data...4072854463</v>
        <stp/>
        <stp>BDP|15805166451638287462</stp>
        <tr r="S18" s="338"/>
      </tp>
      <tp t="s">
        <v>#N/A Requesting Data...4157255906</v>
        <stp/>
        <stp>BDP|18446461901708890906</stp>
        <tr r="S45" s="338"/>
      </tp>
      <tp t="s">
        <v>#N/A Requesting Data...3507500053</v>
        <stp/>
        <stp>BDP|12514485676904256829</stp>
        <tr r="E160" s="89"/>
      </tp>
      <tp t="s">
        <v>#N/A N/A</v>
        <stp/>
        <stp>BDP|13594164286172898577</stp>
        <tr r="K13" s="1"/>
      </tp>
      <tp t="s">
        <v>#N/A Requesting Data...4113869306</v>
        <stp/>
        <stp>BDP|12136202912939805519</stp>
        <tr r="T213" s="89"/>
      </tp>
      <tp t="s">
        <v>#N/A Requesting Data...3976658538</v>
        <stp/>
        <stp>BDP|10028687100653384862</stp>
        <tr r="O223" s="89"/>
        <tr r="T5" s="2"/>
      </tp>
      <tp t="s">
        <v>#N/A Requesting Data...4162881772</v>
        <stp/>
        <stp>BDP|15843140282036113720</stp>
        <tr r="G22" s="446"/>
      </tp>
      <tp t="s">
        <v>#N/A Requesting Data...3789193273</v>
        <stp/>
        <stp>BDP|11847564369457057888</stp>
        <tr r="F13" s="252"/>
      </tp>
      <tp t="s">
        <v>#N/A Requesting Data...4142936785</v>
        <stp/>
        <stp>BDP|13571664718169245067</stp>
        <tr r="U14" s="338"/>
      </tp>
      <tp t="s">
        <v>#N/A Requesting Data...3471170470</v>
        <stp/>
        <stp>BDP|17319342610009091197</stp>
        <tr r="G27" s="446"/>
      </tp>
      <tp t="s">
        <v>#N/A N/A</v>
        <stp/>
        <stp>BDP|11924439292996409721</stp>
        <tr r="AG51" s="1"/>
      </tp>
      <tp t="s">
        <v>#N/A Requesting Data...4135276455</v>
        <stp/>
        <stp>BDP|14882210397437387533</stp>
        <tr r="T42" s="338"/>
      </tp>
      <tp t="s">
        <v>#N/A Requesting Data...3444658123</v>
        <stp/>
        <stp>BDP|16174661133786135858</stp>
        <tr r="L12" s="338"/>
        <tr r="H12" s="338"/>
      </tp>
      <tp t="s">
        <v>#N/A Requesting Data...3407724646</v>
        <stp/>
        <stp>BDP|17115834681353057933</stp>
        <tr r="U31" s="338"/>
      </tp>
      <tp t="s">
        <v>#N/A Requesting Data...4160621115</v>
        <stp/>
        <stp>BDP|12175469510002223863</stp>
        <tr r="P14" s="338"/>
      </tp>
      <tp t="s">
        <v>#N/A N/A</v>
        <stp/>
        <stp>BDP|18096474274854136215</stp>
        <tr r="AV22" s="2"/>
        <tr r="AV23" s="2"/>
        <tr r="R68" s="89"/>
        <tr r="R69" s="89"/>
        <tr r="R81" s="89"/>
        <tr r="R186" s="89"/>
        <tr r="R187" s="89"/>
        <tr r="R188" s="89"/>
        <tr r="R82" s="89"/>
        <tr r="R76" s="89"/>
        <tr r="AV6" s="2"/>
        <tr r="AV7" s="2"/>
      </tp>
      <tp t="s">
        <v>#N/A Requesting Data...4183237624</v>
        <stp/>
        <stp>BDP|18074111082599132509</stp>
        <tr r="D196" s="89"/>
      </tp>
      <tp t="s">
        <v>#N/A Requesting Data...3771451590</v>
        <stp/>
        <stp>BDP|16200988588058493248</stp>
        <tr r="AA224" s="89"/>
        <tr r="Z224" s="89"/>
      </tp>
      <tp t="s">
        <v>#N/A Requesting Data...3999476001</v>
        <stp/>
        <stp>BDP|17051618884910746406</stp>
        <tr r="T44" s="338"/>
      </tp>
      <tp t="s">
        <v>#N/A Requesting Data...3314235321</v>
        <stp/>
        <stp>BDP|14959318848357778920</stp>
        <tr r="T41" s="338"/>
      </tp>
      <tp t="s">
        <v>#N/A N/A</v>
        <stp/>
        <stp>BDP|11804015925529096782</stp>
        <tr r="AI57" s="1"/>
      </tp>
      <tp t="s">
        <v>#N/A N/A</v>
        <stp/>
        <stp>BDP|10476670090364142661</stp>
        <tr r="K29" s="1"/>
      </tp>
      <tp t="s">
        <v>#N/A Requesting Data...3561396838</v>
        <stp/>
        <stp>BDP|15219096160618738682</stp>
        <tr r="X17" s="338"/>
      </tp>
      <tp t="s">
        <v>#N/A Requesting Data...4047796279</v>
        <stp/>
        <stp>BDP|14574759861540790819</stp>
        <tr r="S34" s="338"/>
      </tp>
      <tp t="s">
        <v>#N/A Requesting Data...4073509873</v>
        <stp/>
        <stp>BDP|17898461283376389092</stp>
        <tr r="D40" s="89"/>
      </tp>
      <tp t="s">
        <v>#N/A Requesting Data...4273339246</v>
        <stp/>
        <stp>BDP|12063939312664514322</stp>
        <tr r="N17" s="252"/>
        <tr r="N17" s="252"/>
      </tp>
      <tp t="s">
        <v>#N/A Requesting Data...4023816020</v>
        <stp/>
        <stp>BDP|11934537446469823426</stp>
        <tr r="E8" s="2"/>
      </tp>
      <tp t="e">
        <v>#N/A</v>
        <stp/>
        <stp>BDH|18266534069495914321</stp>
        <tr r="AU8" s="338"/>
        <tr r="AU50" s="338"/>
        <tr r="AU32" s="338"/>
        <tr r="AU46" s="338"/>
      </tp>
      <tp t="e">
        <v>#N/A</v>
        <stp/>
        <stp>BDH|13885285882450008494</stp>
        <tr r="J17" s="252"/>
      </tp>
      <tp>
        <v>616.52</v>
        <stp/>
        <stp>BDP|8629289523220789997|22</stp>
        <stp>QQQ Equity</stp>
        <stp>LAST PRICE</stp>
        <tr r="I31" s="338"/>
        <tr r="I33" s="338"/>
        <tr r="I41" s="338"/>
        <tr r="G45" s="338"/>
        <tr r="G46" s="338"/>
        <tr r="I47" s="338"/>
        <tr r="G49" s="338"/>
        <tr r="I51" s="338"/>
      </tp>
      <tp>
        <v>85.87</v>
        <stp/>
        <stp>BDP|3617422536658376331|22</stp>
        <stp>XLP Equity</stp>
        <stp>LAST PRICE</stp>
        <tr r="I9" s="338"/>
      </tp>
      <tp>
        <v>63.3</v>
        <stp/>
        <stp>BDP|4911432985148125573|22</stp>
        <stp>META US 07/17/26 C700 Equity</stp>
        <stp>ask</stp>
        <tr r="L14" s="89"/>
        <tr r="L27" s="89"/>
        <tr r="L171" s="89"/>
      </tp>
      <tp t="s">
        <v>#N/A Requesting Data...4097661199</v>
        <stp/>
        <stp>BDP|12339741374220877028</stp>
        <tr r="AB19" s="1"/>
        <tr r="AB20" s="1"/>
        <tr r="F21" s="446"/>
      </tp>
      <tp t="s">
        <v>#N/A Requesting Data...3991226348</v>
        <stp/>
        <stp>BDP|10313697833123536458</stp>
        <tr r="E15" s="2"/>
      </tp>
      <tp t="s">
        <v>#N/A Requesting Data...4098836683</v>
        <stp/>
        <stp>BDP|15108137503044913212</stp>
        <tr r="T170" s="89"/>
      </tp>
      <tp t="s">
        <v>#N/A Requesting Data...3516526292</v>
        <stp/>
        <stp>BDP|12562291822957166773</stp>
        <tr r="X15" s="338"/>
        <tr r="X39" s="338"/>
      </tp>
      <tp t="s">
        <v>#N/A Requesting Data...3712256975</v>
        <stp/>
        <stp>BDP|17646594623933242160</stp>
        <tr r="AJ8" s="338"/>
        <tr r="AJ9" s="338"/>
      </tp>
      <tp t="s">
        <v>#N/A Requesting Data...3582933669</v>
        <stp/>
        <stp>BDP|10920319565786030158</stp>
        <tr r="E116" s="89"/>
      </tp>
      <tp t="s">
        <v>#N/A Requesting Data...3509784593</v>
        <stp/>
        <stp>BDP|11988979111049200256</stp>
        <tr r="AK29" s="338"/>
      </tp>
      <tp t="s">
        <v>#N/A Requesting Data...3965922079</v>
        <stp/>
        <stp>BDP|15123503718841871299</stp>
        <tr r="T211" s="89"/>
      </tp>
      <tp t="s">
        <v>#N/A Requesting Data...3356602512</v>
        <stp/>
        <stp>BDP|12832425312094016130</stp>
        <tr r="D8" s="2"/>
      </tp>
      <tp t="s">
        <v>#N/A N/A</v>
        <stp/>
        <stp>BDP|14479187750583764118</stp>
        <tr r="AI15" s="1"/>
      </tp>
      <tp t="s">
        <v>#N/A Requesting Data...4140624469</v>
        <stp/>
        <stp>BDP|10430788467275400653</stp>
        <tr r="AA236" s="89"/>
        <tr r="Z236" s="89"/>
      </tp>
      <tp t="s">
        <v>#N/A N/A</v>
        <stp/>
        <stp>BDP|12441262542794899220</stp>
        <tr r="AQ30" s="2"/>
      </tp>
      <tp t="s">
        <v>#N/A Requesting Data...3624738591</v>
        <stp/>
        <stp>BDP|16937646895923669842</stp>
        <tr r="AA81" s="89"/>
        <tr r="Z81" s="89"/>
      </tp>
      <tp t="s">
        <v>#N/A Requesting Data...4286204676</v>
        <stp/>
        <stp>BDP|18157341325538853324</stp>
        <tr r="Q33" s="338"/>
      </tp>
      <tp t="s">
        <v>#N/A Requesting Data...3469133212</v>
        <stp/>
        <stp>BDP|16562634359111464613</stp>
        <tr r="AR11" s="2"/>
      </tp>
      <tp t="s">
        <v>#N/A Requesting Data...3903507360</v>
        <stp/>
        <stp>BDP|12394829048358209468</stp>
        <tr r="AR10" s="2"/>
      </tp>
      <tp t="s">
        <v>#N/A N/A</v>
        <stp/>
        <stp>BDP|12274481806484777070</stp>
        <tr r="J4" s="1"/>
      </tp>
      <tp t="s">
        <v>#N/A Requesting Data...3938899543</v>
        <stp/>
        <stp>BDP|17216633965664243193</stp>
        <tr r="L34" s="338"/>
        <tr r="J34" s="338"/>
        <tr r="L35" s="338"/>
        <tr r="J35" s="338"/>
        <tr r="L36" s="338"/>
        <tr r="J36" s="338"/>
        <tr r="L37" s="338"/>
        <tr r="J37" s="338"/>
        <tr r="L50" s="338"/>
        <tr r="H50" s="338"/>
        <tr r="L51" s="338"/>
        <tr r="H51" s="338"/>
      </tp>
      <tp t="s">
        <v>#N/A Requesting Data...3354771699</v>
        <stp/>
        <stp>BDP|14776745928063005042</stp>
        <tr r="T136" s="89"/>
      </tp>
      <tp t="s">
        <v>#N/A Requesting Data...3973191596</v>
        <stp/>
        <stp>BDP|12776798055890176257</stp>
        <tr r="V211" s="89"/>
      </tp>
      <tp t="s">
        <v>#N/A Requesting Data...3407672366</v>
        <stp/>
        <stp>BDP|16719292853193179031</stp>
        <tr r="T31" s="2"/>
      </tp>
      <tp t="s">
        <v>#N/A Requesting Data...3462460262</v>
        <stp/>
        <stp>BDP|13796779298948123776</stp>
        <tr r="C136" s="89"/>
      </tp>
      <tp t="s">
        <v>#N/A Requesting Data...4157925771</v>
        <stp/>
        <stp>BDP|13805405504302407767</stp>
        <tr r="AA197" s="89"/>
        <tr r="Z197" s="89"/>
      </tp>
      <tp t="s">
        <v>#N/A Requesting Data...3393272156</v>
        <stp/>
        <stp>BDP|17104168856602664398</stp>
        <tr r="E211" s="89"/>
      </tp>
      <tp t="s">
        <v>#N/A Requesting Data...4021680447</v>
        <stp/>
        <stp>BDP|16819116934213136521</stp>
        <tr r="F14" s="2"/>
      </tp>
      <tp t="s">
        <v>#N/A Requesting Data...3356055229</v>
        <stp/>
        <stp>BDP|13150872693841225199</stp>
        <tr r="AR8" s="2"/>
      </tp>
      <tp t="s">
        <v>#N/A Requesting Data...4143375406</v>
        <stp/>
        <stp>BDP|13698454327306550105</stp>
        <tr r="T180" s="89"/>
      </tp>
      <tp t="s">
        <v>#N/A Requesting Data...3817097655</v>
        <stp/>
        <stp>BDP|16047448851216675329</stp>
        <tr r="V68" s="89"/>
      </tp>
      <tp t="s">
        <v>#N/A Requesting Data...4248571023</v>
        <stp/>
        <stp>BDP|11875259860180843752</stp>
        <tr r="L9" s="252"/>
        <tr r="L9" s="252"/>
      </tp>
      <tp t="s">
        <v>#N/A Requesting Data...3881429465</v>
        <stp/>
        <stp>BDP|17193753013640317341</stp>
        <tr r="T197" s="89"/>
        <tr r="AA26" s="2"/>
        <tr r="AA27" s="2"/>
      </tp>
      <tp t="s">
        <v>#N/A Requesting Data...3920801624</v>
        <stp/>
        <stp>BDP|17950909593432390797</stp>
        <tr r="G29" s="446"/>
      </tp>
      <tp t="s">
        <v>#N/A N/A</v>
        <stp/>
        <stp>BDP|16464673670092529762</stp>
        <tr r="AB136" s="89"/>
        <tr r="AB137" s="89"/>
        <tr r="AB138" s="89"/>
      </tp>
      <tp t="s">
        <v>#N/A N/A</v>
        <stp/>
        <stp>BDP|16665812118984554998</stp>
        <tr r="AC14" s="2"/>
        <tr r="AC15" s="2"/>
        <tr r="AC16" s="2"/>
        <tr r="AC17" s="2"/>
        <tr r="AC18" s="2"/>
        <tr r="AC19" s="2"/>
      </tp>
      <tp t="s">
        <v>#N/A Requesting Data...3596793520</v>
        <stp/>
        <stp>BDP|16099783829031299019</stp>
        <tr r="Q40" s="338"/>
      </tp>
      <tp t="s">
        <v>#N/A Requesting Data...3617429133</v>
        <stp/>
        <stp>BDP|10392302271721368734</stp>
        <tr r="AJ15" s="338"/>
        <tr r="AJ39" s="338"/>
        <tr r="AK40" s="338"/>
      </tp>
      <tp t="s">
        <v>#N/A Requesting Data...3749213180</v>
        <stp/>
        <stp>BDP|13077127063164089235</stp>
        <tr r="L29" s="338"/>
        <tr r="H29" s="338"/>
        <tr r="L30" s="338"/>
        <tr r="H30" s="338"/>
      </tp>
      <tp t="s">
        <v>#N/A Requesting Data...4218401216</v>
        <stp/>
        <stp>BDP|17190454425561690252</stp>
        <tr r="AR20" s="2"/>
      </tp>
      <tp t="s">
        <v>#N/A Requesting Data...3956653250</v>
        <stp/>
        <stp>BDP|15616266803836462358</stp>
        <tr r="P18" s="338"/>
      </tp>
      <tp t="s">
        <v>#N/A Requesting Data...3733111698</v>
        <stp/>
        <stp>BDP|12909617883408150686</stp>
        <tr r="F17" s="446"/>
      </tp>
      <tp t="s">
        <v>#N/A Requesting Data...3396342059</v>
        <stp/>
        <stp>BDP|12668630201684454223</stp>
        <tr r="T40" s="338"/>
      </tp>
      <tp t="s">
        <v>#N/A Requesting Data...3351334463</v>
        <stp/>
        <stp>BDP|14907590063523957686</stp>
        <tr r="D39" s="446"/>
      </tp>
      <tp t="s">
        <v>#N/A Requesting Data...4168435324</v>
        <stp/>
        <stp>BDP|15427086549125422631</stp>
        <tr r="F29" s="446"/>
      </tp>
      <tp t="s">
        <v>#N/A Requesting Data...4168589741</v>
        <stp/>
        <stp>BDP|14142420902056154459</stp>
        <tr r="Q41" s="338"/>
      </tp>
      <tp t="s">
        <v>#N/A Requesting Data...3921963270</v>
        <stp/>
        <stp>BDP|12603611155092450139</stp>
        <tr r="P44" s="338"/>
      </tp>
      <tp t="s">
        <v>#N/A Requesting Data...3766918862</v>
        <stp/>
        <stp>BDP|15469415451113072507</stp>
        <tr r="Q44" s="338"/>
      </tp>
      <tp t="s">
        <v>#N/A Requesting Data...4007253391</v>
        <stp/>
        <stp>BDP|12650903035052242853</stp>
        <tr r="T50" s="338"/>
      </tp>
      <tp t="s">
        <v>#N/A Requesting Data...3939337982</v>
        <stp/>
        <stp>BDP|15097578277281717435</stp>
        <tr r="AK13" s="338"/>
      </tp>
      <tp t="s">
        <v>#N/A N/A</v>
        <stp/>
        <stp>BDP|17445646416605654744</stp>
        <tr r="R56" s="89"/>
        <tr r="R55" s="89"/>
      </tp>
      <tp t="s">
        <v>#N/A Requesting Data...3657910387</v>
        <stp/>
        <stp>BDP|14798833541272440858</stp>
        <tr r="L10" s="338"/>
        <tr r="H10" s="338"/>
        <tr r="L11" s="338"/>
        <tr r="H11" s="338"/>
        <tr r="L33" s="338"/>
        <tr r="H33" s="338"/>
      </tp>
      <tp t="s">
        <v>#N/A N/A</v>
        <stp/>
        <stp>BDP|17447943913214573912</stp>
        <tr r="AC31" s="2"/>
        <tr r="AC32" s="2"/>
      </tp>
      <tp t="s">
        <v>#N/A Requesting Data...3849066210</v>
        <stp/>
        <stp>BDP|10540491936722929740</stp>
        <tr r="F13" s="446"/>
      </tp>
      <tp t="s">
        <v>#N/A Requesting Data...3759483865</v>
        <stp/>
        <stp>BDP|12465228967747275351</stp>
        <tr r="F5" s="2"/>
      </tp>
      <tp t="s">
        <v>#N/A Requesting Data...4132880747</v>
        <stp/>
        <stp>BDP|15421502917490517308</stp>
        <tr r="E187" s="89"/>
      </tp>
      <tp t="s">
        <v>#N/A Requesting Data...3628358141</v>
        <stp/>
        <stp>BDP|14883124263986960762</stp>
        <tr r="E212" s="89"/>
      </tp>
      <tp t="s">
        <v>#N/A Requesting Data...3549653661</v>
        <stp/>
        <stp>BDP|11774657841727499618</stp>
        <tr r="AA9" s="2"/>
      </tp>
      <tp t="e">
        <v>#N/A</v>
        <stp/>
        <stp>BDH|17220079290198638431</stp>
        <tr r="W20" s="252"/>
        <tr r="T20" s="252"/>
      </tp>
      <tp t="e">
        <v>#N/A</v>
        <stp/>
        <stp>BDH|17584423057877396301</stp>
        <tr r="J7" s="252"/>
      </tp>
      <tp>
        <v>124.32</v>
        <stp/>
        <stp>BDP|1868269163989593436|22</stp>
        <stp>EWY Equity</stp>
        <stp>LAST_PRICE</stp>
        <tr r="I38" s="1"/>
        <tr r="I39" s="1"/>
      </tp>
      <tp t="e">
        <v>#N/A</v>
        <stp/>
        <stp>BDH|13972836538013615912</stp>
        <tr r="AU37" s="338"/>
        <tr r="AU36" s="338"/>
        <tr r="AU35" s="338"/>
        <tr r="AP50" s="338"/>
        <tr r="AU34" s="338"/>
        <tr r="AP51" s="338"/>
      </tp>
      <tp t="e">
        <v>#N/A</v>
        <stp/>
        <stp>BDH|13433517978227188448</stp>
        <tr r="J12" s="252"/>
      </tp>
      <tp>
        <v>42.6</v>
        <stp/>
        <stp>BDP|3322764634781769714|22</stp>
        <stp>META US 02/27/26 C660 Equity</stp>
        <stp>ask</stp>
        <tr r="L180" s="89"/>
      </tp>
      <tp t="s">
        <v>#N/A N/A</v>
        <stp/>
        <stp>BDP|15895214585768543406</stp>
        <tr r="AB27" s="1"/>
      </tp>
      <tp t="s">
        <v>#N/A N/A</v>
        <stp/>
        <stp>BDP|12506693576836787640</stp>
        <tr r="AC27" s="1"/>
      </tp>
      <tp t="s">
        <v>#N/A N/A</v>
        <stp/>
        <stp>BDP|12913717425274232066</stp>
        <tr r="AG35" s="1"/>
      </tp>
      <tp t="s">
        <v>#N/A Requesting Data...3621847050</v>
        <stp/>
        <stp>BDP|10102679327761087681</stp>
        <tr r="E19" s="2"/>
      </tp>
      <tp t="s">
        <v>#N/A N/A</v>
        <stp/>
        <stp>BDP|16916588204673977342</stp>
        <tr r="AB154" s="89"/>
      </tp>
      <tp t="s">
        <v>#N/A Requesting Data...4199444876</v>
        <stp/>
        <stp>BDP|14952713124422363077</stp>
        <tr r="AI54" s="338"/>
      </tp>
      <tp t="s">
        <v>#N/A Requesting Data...4173693089</v>
        <stp/>
        <stp>BDP|14312053142406869542</stp>
        <tr r="V33" s="89"/>
      </tp>
      <tp t="s">
        <v>#N/A N/A</v>
        <stp/>
        <stp>BDP|17344183941382189338</stp>
        <tr r="AB211" s="89"/>
        <tr r="AB212" s="89"/>
        <tr r="AB213" s="89"/>
        <tr r="AB235" s="89"/>
      </tp>
      <tp t="s">
        <v>#N/A Requesting Data...3712075600</v>
        <stp/>
        <stp>BDP|12659323579531227475</stp>
        <tr r="C137" s="89"/>
      </tp>
      <tp t="s">
        <v>#N/A N/A</v>
        <stp/>
        <stp>BDP|11928681486748964459</stp>
        <tr r="AV20" s="2"/>
        <tr r="AV21" s="2"/>
        <tr r="R8" s="89"/>
        <tr r="R7" s="89"/>
      </tp>
      <tp t="s">
        <v>#N/A Requesting Data...4127881863</v>
        <stp/>
        <stp>BDP|13685951603788859137</stp>
        <tr r="T138" s="89"/>
      </tp>
      <tp t="s">
        <v>#N/A N/A</v>
        <stp/>
        <stp>BDP|17356384253186180443</stp>
        <tr r="R75" s="89"/>
      </tp>
      <tp t="s">
        <v>#N/A Requesting Data...3710480096</v>
        <stp/>
        <stp>BDP|16973005602894719115</stp>
        <tr r="P19" s="252"/>
      </tp>
      <tp t="s">
        <v>#N/A Requesting Data...3495009505</v>
        <stp/>
        <stp>BDP|12197625641431851271</stp>
        <tr r="C63" s="89"/>
        <tr r="D17" s="2"/>
        <tr r="D18" s="2"/>
      </tp>
      <tp t="s">
        <v>#N/A N/A</v>
        <stp/>
        <stp>BDP|17590928080231395481</stp>
        <tr r="K15" s="1"/>
      </tp>
      <tp t="s">
        <v>#N/A Requesting Data...3858465984</v>
        <stp/>
        <stp>BDP|14061654258613093712</stp>
        <tr r="AA116" s="89"/>
        <tr r="Z116" s="89"/>
      </tp>
      <tp t="s">
        <v>#N/A Requesting Data...4109886847</v>
        <stp/>
        <stp>BDP|11585397164616268161</stp>
        <tr r="D116" s="89"/>
      </tp>
      <tp t="s">
        <v>#N/A Requesting Data...4049017229</v>
        <stp/>
        <stp>BDP|18214340488518015823</stp>
        <tr r="V236" s="89"/>
      </tp>
      <tp t="s">
        <v>#N/A Requesting Data...3833938793</v>
        <stp/>
        <stp>BDP|12861943665177076956</stp>
        <tr r="AF12" s="338"/>
      </tp>
      <tp t="s">
        <v>#N/A Requesting Data...3955845335</v>
        <stp/>
        <stp>BDP|16310224704590045790</stp>
        <tr r="AA39" s="89"/>
        <tr r="Z39" s="89"/>
      </tp>
      <tp t="s">
        <v>#N/A Requesting Data...3725731861</v>
        <stp/>
        <stp>BDP|15919437567850131436</stp>
        <tr r="G28" s="446"/>
      </tp>
      <tp t="s">
        <v>#N/A Requesting Data...3874983227</v>
        <stp/>
        <stp>BDP|10332618328212556503</stp>
        <tr r="K28" s="2"/>
      </tp>
      <tp t="s">
        <v>#N/A Requesting Data...3493250624</v>
        <stp/>
        <stp>BDP|17345659231843132294</stp>
        <tr r="X31" s="338"/>
      </tp>
      <tp t="s">
        <v>#N/A N/A</v>
        <stp/>
        <stp>BDP|12988555714434708108</stp>
        <tr r="R204" s="89"/>
        <tr r="R205" s="89"/>
        <tr r="AV11" s="2"/>
        <tr r="AV10" s="2"/>
      </tp>
      <tp t="s">
        <v>#N/A N/A</v>
        <stp/>
        <stp>BDP|13934642593416417954</stp>
        <tr r="AI62" s="1"/>
      </tp>
      <tp t="s">
        <v>#N/A Requesting Data...3806653613</v>
        <stp/>
        <stp>BDP|11636396119835192597</stp>
        <tr r="T69" s="89"/>
      </tp>
      <tp t="s">
        <v>#N/A Requesting Data...4199156570</v>
        <stp/>
        <stp>BDP|17039732835313216359</stp>
        <tr r="G13" s="446"/>
      </tp>
      <tp t="s">
        <v>#N/A N/A</v>
        <stp/>
        <stp>BDP|11848586431027061306</stp>
        <tr r="K62" s="1"/>
      </tp>
      <tp t="s">
        <v>#N/A Requesting Data...4012051543</v>
        <stp/>
        <stp>BDP|10212284669224289309</stp>
        <tr r="G15" s="446"/>
      </tp>
      <tp t="s">
        <v>#N/A Requesting Data...3966563381</v>
        <stp/>
        <stp>BDP|16462724592283769820</stp>
        <tr r="Z69" s="89"/>
        <tr r="AA69" s="89"/>
      </tp>
      <tp t="s">
        <v>#N/A N/A</v>
        <stp/>
        <stp>BDP|14477773684938548023</stp>
        <tr r="AI31" s="1"/>
        <tr r="AI32" s="1"/>
      </tp>
      <tp t="s">
        <v>#N/A Requesting Data...3914245339</v>
        <stp/>
        <stp>BDP|16582836999550942450</stp>
        <tr r="O56" s="89"/>
      </tp>
      <tp t="s">
        <v>#N/A Requesting Data...3545707140</v>
        <stp/>
        <stp>BDP|16139528108117140790</stp>
        <tr r="T13" s="89"/>
        <tr r="AA12" s="2"/>
        <tr r="AA13" s="2"/>
      </tp>
      <tp t="s">
        <v>#N/A Requesting Data...4103595853</v>
        <stp/>
        <stp>BDP|10628744726607068175</stp>
        <tr r="C225" s="89"/>
      </tp>
      <tp t="s">
        <v>#N/A Requesting Data...4035378548</v>
        <stp/>
        <stp>BDP|16931852689404443127</stp>
        <tr r="AB21" s="1"/>
        <tr r="AB22" s="1"/>
        <tr r="AB23" s="1"/>
        <tr r="F23" s="446"/>
      </tp>
      <tp t="s">
        <v>#N/A Requesting Data...4065628253</v>
        <stp/>
        <stp>BDP|14461057417982680435</stp>
        <tr r="T63" s="89"/>
        <tr r="AA17" s="2"/>
        <tr r="AA18" s="2"/>
      </tp>
      <tp t="s">
        <v>#N/A Requesting Data...3408406076</v>
        <stp/>
        <stp>BDP|14468716151160495523</stp>
        <tr r="AA14" s="89"/>
        <tr r="AA27" s="89"/>
        <tr r="AA171" s="89"/>
        <tr r="Z14" s="89"/>
        <tr r="Z171" s="89"/>
        <tr r="Z27" s="89"/>
      </tp>
      <tp t="s">
        <v>#N/A Requesting Data...3421304452</v>
        <stp/>
        <stp>BDP|17555380371560751096</stp>
        <tr r="C6" s="2"/>
      </tp>
      <tp t="s">
        <v>#N/A N/A</v>
        <stp/>
        <stp>BDP|17214529260663576400</stp>
        <tr r="AC35" s="1"/>
      </tp>
      <tp t="s">
        <v>#N/A Requesting Data...4126399451</v>
        <stp/>
        <stp>BDP|11246696260120787292</stp>
        <tr r="F10" s="252"/>
      </tp>
      <tp t="s">
        <v>#N/A Requesting Data...4218407212</v>
        <stp/>
        <stp>BDP|15227373250511500153</stp>
        <tr r="X14" s="338"/>
      </tp>
      <tp t="s">
        <v>#N/A Requesting Data...4266126595</v>
        <stp/>
        <stp>BDP|13044527620903591424</stp>
        <tr r="U15" s="338"/>
        <tr r="U39" s="338"/>
      </tp>
      <tp t="s">
        <v>#N/A Requesting Data...3594899172</v>
        <stp/>
        <stp>BDP|11488079128501837162</stp>
        <tr r="O14" s="89"/>
        <tr r="O171" s="89"/>
        <tr r="O27" s="89"/>
      </tp>
      <tp t="s">
        <v>#N/A N/A</v>
        <stp/>
        <stp>BDP|10567528115825689203</stp>
        <tr r="AF16" s="1"/>
      </tp>
      <tp t="s">
        <v>#N/A N/A</v>
        <stp/>
        <stp>BDP|16066178257148215968</stp>
        <tr r="AV14" s="2"/>
        <tr r="AV15" s="2"/>
        <tr r="AV16" s="2"/>
        <tr r="AV17" s="2"/>
        <tr r="R62" s="89"/>
        <tr r="R63" s="89"/>
        <tr r="AV19" s="2"/>
        <tr r="AV18" s="2"/>
      </tp>
      <tp t="s">
        <v>#N/A N/A</v>
        <stp/>
        <stp>BDP|12718343677950174519</stp>
        <tr r="E7" s="1"/>
      </tp>
      <tp t="s">
        <v>#N/A Requesting Data...3574257303</v>
        <stp/>
        <stp>BDP|14592404034766531631</stp>
        <tr r="S53" s="338"/>
      </tp>
      <tp t="s">
        <v>#N/A Requesting Data...3709348681</v>
        <stp/>
        <stp>BDP|12699517143758716846</stp>
        <tr r="AA34" s="89"/>
        <tr r="Z34" s="89"/>
      </tp>
      <tp t="s">
        <v>#N/A Requesting Data...3854428635</v>
        <stp/>
        <stp>BDP|12148860832943674947</stp>
        <tr r="D7" s="89"/>
      </tp>
      <tp t="s">
        <v>#N/A Requesting Data...3643077298</v>
        <stp/>
        <stp>BDP|11486261538490579386</stp>
        <tr r="AH55" s="338"/>
        <tr r="AI14" s="338"/>
        <tr r="AI55" s="338"/>
      </tp>
      <tp t="s">
        <v>#N/A Requesting Data...4096659435</v>
        <stp/>
        <stp>BDP|10407776681355403913</stp>
        <tr r="AI9" s="338"/>
      </tp>
      <tp t="s">
        <v>#N/A N/A</v>
        <stp/>
        <stp>BDP|14730076527710394522</stp>
        <tr r="N3" s="1"/>
      </tp>
      <tp t="s">
        <v>#N/A Requesting Data...4048793312</v>
        <stp/>
        <stp>BDP|17070183481335851873</stp>
        <tr r="Q15" s="338"/>
        <tr r="Q39" s="338"/>
      </tp>
      <tp t="e">
        <v>#N/A</v>
        <stp/>
        <stp>BDH|12752783504707927125</stp>
        <tr r="AS53" s="338"/>
        <tr r="AN48" s="338"/>
        <tr r="AS10" s="338"/>
        <tr r="AN47" s="338"/>
        <tr r="AN44" s="338"/>
      </tp>
      <tp t="e">
        <v>#N/A</v>
        <stp/>
        <stp>BDH|14933480884122236952</stp>
        <tr r="AR12" s="338"/>
      </tp>
      <tp t="e">
        <v>#N/A</v>
        <stp/>
        <stp>BDH|12158016387338648143</stp>
        <tr r="AM8" s="338"/>
        <tr r="AM9" s="338"/>
      </tp>
      <tp t="e">
        <v>#N/A</v>
        <stp/>
        <stp>BDH|14583815225278766527</stp>
        <tr r="J8" s="252"/>
      </tp>
      <tp t="e">
        <v>#N/A</v>
        <stp/>
        <stp>BDH|15645213458299941824</stp>
        <tr r="AP53" s="338"/>
        <tr r="AP52" s="338"/>
        <tr r="AP54" s="338"/>
      </tp>
      <tp t="s">
        <v>#N/A Real Time</v>
        <stp/>
        <stp>BDP|8550151833773817651|22</stp>
        <stp>3OF5C    22500 Index</stp>
        <stp>bid</stp>
        <tr r="K109" s="89"/>
      </tp>
      <tp>
        <v>62.95</v>
        <stp/>
        <stp>BDP|3120711432826724576|22</stp>
        <stp>META US 07/17/26 C700 Equity</stp>
        <stp>bid</stp>
        <tr r="K14" s="89"/>
        <tr r="K27" s="89"/>
        <tr r="K171" s="89"/>
      </tp>
      <tp t="s">
        <v>#N/A N/A</v>
        <stp/>
        <stp>BDP|16634752858660747458</stp>
        <tr r="K56" s="1"/>
      </tp>
      <tp t="s">
        <v>#N/A N/A</v>
        <stp/>
        <stp>BDP|14881796519496077416</stp>
        <tr r="AC44" s="1"/>
        <tr r="AC45" s="1"/>
      </tp>
      <tp t="s">
        <v>#N/A N/A</v>
        <stp/>
        <stp>BDP|13215475469594762530</stp>
        <tr r="AB89" s="89"/>
        <tr r="AB90" s="89"/>
      </tp>
      <tp t="s">
        <v>#N/A Requesting Data...3561991163</v>
        <stp/>
        <stp>BDP|10384653628097195348</stp>
        <tr r="V33" s="338"/>
      </tp>
      <tp t="s">
        <v>#N/A Requesting Data...3526378747</v>
        <stp/>
        <stp>BDP|14068986720868497779</stp>
        <tr r="D26" s="89"/>
      </tp>
      <tp t="s">
        <v>#N/A Requesting Data...4282952112</v>
        <stp/>
        <stp>BDP|15830810886156463309</stp>
        <tr r="AA89" s="89"/>
        <tr r="Z89" s="89"/>
      </tp>
      <tp t="s">
        <v>#N/A Requesting Data...4049310900</v>
        <stp/>
        <stp>BDP|16329127935980609498</stp>
        <tr r="M9" s="252"/>
      </tp>
      <tp t="s">
        <v>#N/A Requesting Data...3460103854</v>
        <stp/>
        <stp>BDP|10213293417720387350</stp>
        <tr r="V20" s="89"/>
      </tp>
      <tp t="s">
        <v>#N/A Requesting Data...3803510891</v>
        <stp/>
        <stp>BDP|14136785762373472653</stp>
        <tr r="P12" s="338"/>
      </tp>
      <tp t="s">
        <v>#N/A Requesting Data...4031802967</v>
        <stp/>
        <stp>BDP|10907713945543986097</stp>
        <tr r="AJ12" s="338"/>
      </tp>
      <tp t="s">
        <v>#N/A Requesting Data...4120564861</v>
        <stp/>
        <stp>BDP|18157396268365948849</stp>
        <tr r="G32" s="446"/>
      </tp>
      <tp t="s">
        <v>#N/A Requesting Data...4218321432</v>
        <stp/>
        <stp>BDP|12322490716684467354</stp>
        <tr r="AD32" s="2"/>
      </tp>
      <tp t="s">
        <v>#N/A Requesting Data...3559833446</v>
        <stp/>
        <stp>BDP|17187500422678411886</stp>
        <tr r="T62" s="89"/>
        <tr r="AA16" s="2"/>
      </tp>
      <tp t="s">
        <v>#N/A Requesting Data...3845282952</v>
        <stp/>
        <stp>BDP|11850099902500446183</stp>
        <tr r="AR32" s="2"/>
      </tp>
      <tp t="s">
        <v>#N/A Requesting Data...4183886042</v>
        <stp/>
        <stp>BDP|11924826381262215379</stp>
        <tr r="D115" s="89"/>
      </tp>
      <tp t="s">
        <v>#N/A N/A</v>
        <stp/>
        <stp>BDP|16418587176254290070</stp>
        <tr r="AB129" s="89"/>
      </tp>
      <tp t="s">
        <v>#N/A Requesting Data...3492116545</v>
        <stp/>
        <stp>BDP|10512532828936234125</stp>
        <tr r="T81" s="89"/>
        <tr r="AA6" s="2"/>
      </tp>
      <tp t="s">
        <v>#N/A Requesting Data...3860238703</v>
        <stp/>
        <stp>BDP|13742435379952421279</stp>
        <tr r="Z26" s="89"/>
        <tr r="AA26" s="89"/>
      </tp>
      <tp t="s">
        <v>#N/A N/A</v>
        <stp/>
        <stp>BDP|13846974553487624841</stp>
        <tr r="AB186" s="89"/>
        <tr r="AB187" s="89"/>
        <tr r="AB188" s="89"/>
        <tr r="AB68" s="89"/>
        <tr r="AB69" s="89"/>
        <tr r="AB76" s="89"/>
        <tr r="AB81" s="89"/>
        <tr r="AB82" s="89"/>
        <tr r="AQ22" s="2"/>
        <tr r="AQ23" s="2"/>
        <tr r="AQ6" s="2"/>
        <tr r="AQ7" s="2"/>
      </tp>
      <tp t="s">
        <v>#N/A Requesting Data...3710446556</v>
        <stp/>
        <stp>BDP|13176433799579956737</stp>
        <tr r="C16" s="2"/>
      </tp>
      <tp t="s">
        <v>#N/A Requesting Data...3779534813</v>
        <stp/>
        <stp>BDP|11877678453870847248</stp>
        <tr r="AJ29" s="338"/>
        <tr r="AJ30" s="338"/>
      </tp>
      <tp t="s">
        <v>#N/A Requesting Data...4285189797</v>
        <stp/>
        <stp>BDP|17979638844017722292</stp>
        <tr r="E224" s="89"/>
      </tp>
      <tp t="s">
        <v>#N/A Requesting Data...3608642455</v>
        <stp/>
        <stp>BDP|12913131077284987044</stp>
        <tr r="T55" s="89"/>
      </tp>
      <tp t="s">
        <v>#N/A Requesting Data...3839593154</v>
        <stp/>
        <stp>BDP|14667087596678820507</stp>
        <tr r="AH45" s="338"/>
        <tr r="AH46" s="338"/>
        <tr r="AH49" s="338"/>
        <tr r="AI31" s="338"/>
        <tr r="AI33" s="338"/>
        <tr r="AI41" s="338"/>
        <tr r="AI47" s="338"/>
        <tr r="AI51" s="338"/>
      </tp>
      <tp t="s">
        <v>#N/A Requesting Data...3803745579</v>
        <stp/>
        <stp>BDP|17857693024795624634</stp>
        <tr r="V19" s="89"/>
      </tp>
      <tp t="s">
        <v>#N/A Requesting Data...4149877746</v>
        <stp/>
        <stp>BDP|10183906085654225550</stp>
        <tr r="Q37" s="338"/>
      </tp>
      <tp t="s">
        <v>#N/A N/A</v>
        <stp/>
        <stp>BDP|14736375789817362891</stp>
        <tr r="AD2" s="1"/>
        <tr r="AC2" s="1"/>
      </tp>
      <tp t="s">
        <v>#N/A N/A</v>
        <stp/>
        <stp>BDP|16915999897423444512</stp>
        <tr r="AC21" s="1"/>
        <tr r="AC22" s="1"/>
        <tr r="AC23" s="1"/>
      </tp>
      <tp t="s">
        <v>#N/A Requesting Data...3911400832</v>
        <stp/>
        <stp>BDP|13439578072010389109</stp>
        <tr r="O225" s="89"/>
      </tp>
      <tp t="s">
        <v>#N/A Requesting Data...4158610797</v>
        <stp/>
        <stp>BDP|15588300861006151675</stp>
        <tr r="C211" s="89"/>
      </tp>
      <tp t="s">
        <v>#N/A Requesting Data...3800242152</v>
        <stp/>
        <stp>BDP|11184865175579332734</stp>
        <tr r="F12" s="446"/>
      </tp>
      <tp t="s">
        <v>#N/A N/A</v>
        <stp/>
        <stp>BDP|16647795119072066249</stp>
        <tr r="AF57" s="1"/>
      </tp>
      <tp t="s">
        <v>#N/A Requesting Data...3775828243</v>
        <stp/>
        <stp>BDP|12133420967599732913</stp>
        <tr r="AG12" s="338"/>
      </tp>
      <tp t="s">
        <v>#N/A Requesting Data...3696378856</v>
        <stp/>
        <stp>BDP|13857612189674301914</stp>
        <tr r="D153" s="89"/>
      </tp>
      <tp t="s">
        <v>#N/A N/A</v>
        <stp/>
        <stp>BDP|10633791113720948675</stp>
        <tr r="AB57" s="1"/>
      </tp>
      <tp t="s">
        <v>#N/A Requesting Data...3577616158</v>
        <stp/>
        <stp>BDP|15122146107040099471</stp>
        <tr r="E55" s="89"/>
      </tp>
      <tp t="s">
        <v>#N/A N/A</v>
        <stp/>
        <stp>BDP|14646160180655233875</stp>
        <tr r="AC10" s="2"/>
        <tr r="AC11" s="2"/>
      </tp>
      <tp t="s">
        <v>#N/A Requesting Data...3643417824</v>
        <stp/>
        <stp>BDP|11301603537853289723</stp>
        <tr r="T18" s="338"/>
      </tp>
      <tp t="s">
        <v>#N/A N/A</v>
        <stp/>
        <stp>BDP|14721782818326063433</stp>
        <tr r="AC20" s="2"/>
        <tr r="AC21" s="2"/>
      </tp>
      <tp t="s">
        <v>#N/A Requesting Data...4176727997</v>
        <stp/>
        <stp>BDP|17819773794190840945</stp>
        <tr r="P17" s="252"/>
      </tp>
      <tp t="s">
        <v>#N/A Requesting Data...3545965774</v>
        <stp/>
        <stp>BDP|14405326057281461339</stp>
        <tr r="E236" s="89"/>
      </tp>
      <tp t="s">
        <v>#N/A Requesting Data...3956538638</v>
        <stp/>
        <stp>BDP|11542574144783666360</stp>
        <tr r="F41" s="446"/>
      </tp>
      <tp>
        <v>85.39</v>
        <stp/>
        <stp>BDP|2399130969064853177|22</stp>
        <stp>IGV Equity</stp>
        <stp>LAST_PRICE</stp>
        <tr r="I33" s="1"/>
        <tr r="I34" s="1"/>
      </tp>
      <tp>
        <v>421</v>
        <stp/>
        <stp>BDP|12590546275739745124|22</stp>
        <stp>1OG6P 25750 Index</stp>
        <stp>ask</stp>
        <tr r="L153" s="89"/>
      </tp>
      <tp t="e">
        <v>#N/A</v>
        <stp/>
        <stp>BDH|13444008266686712304</stp>
        <tr r="AP29" s="338"/>
        <tr r="AP30" s="338"/>
      </tp>
      <tp t="e">
        <v>#N/A</v>
        <stp/>
        <stp>BDH|14119335146214572741</stp>
        <tr r="AR29" s="338"/>
      </tp>
      <tp t="e">
        <v>#N/A</v>
        <stp/>
        <stp>BDH|13484287559291936525</stp>
        <tr r="AS13" s="338"/>
      </tp>
      <tp t="s">
        <v>USD</v>
        <stp/>
        <stp>BDP|2710784205974410109|22</stp>
        <stp>ASHR US 02/20/26 C35 Equity</stp>
        <stp>QUOTED_CURRENCY_REALTIME</stp>
        <tr r="G4" s="2"/>
      </tp>
      <tp t="s">
        <v>#N/A Real Time</v>
        <stp/>
        <stp>BDP|7488669990583969064|22</stp>
        <stp>SPXW US 12/31/25 C6950 Index</stp>
        <stp>ask</stp>
        <tr r="L160" s="89"/>
      </tp>
      <tp>
        <v>73.5</v>
        <stp/>
        <stp>BDP|3050834555440308322|22</stp>
        <stp>LITE US 03/20/26 C420 Equity</stp>
        <stp>bid</stp>
        <tr r="P9" s="2"/>
      </tp>
      <tp>
        <v>5.6520238518714905E-2</v>
        <stp/>
        <stp>BDP|4961468225848282629|22</stp>
        <stp>NVDA US 02/13/26 C202.5 Equity</stp>
        <stp>DELTA_MID_RT</stp>
        <tr r="W34" s="89"/>
      </tp>
      <tp t="s">
        <v>#N/A Requesting Data...3889635643</v>
        <stp/>
        <stp>BDP|10801083268771247632</stp>
        <tr r="D90" s="89"/>
      </tp>
      <tp t="s">
        <v>#N/A Requesting Data...3949054005</v>
        <stp/>
        <stp>BDP|15656499554320397517</stp>
        <tr r="AA196" s="89"/>
        <tr r="Z196" s="89"/>
      </tp>
      <tp t="s">
        <v>#N/A Requesting Data...3902789143</v>
        <stp/>
        <stp>BDP|16715867013956947830</stp>
        <tr r="Z56" s="89"/>
        <tr r="AA56" s="89"/>
      </tp>
      <tp t="s">
        <v>#N/A Requesting Data...3836092701</v>
        <stp/>
        <stp>BDP|12214778078421334262</stp>
        <tr r="T39" s="89"/>
      </tp>
      <tp t="s">
        <v>#N/A Requesting Data...4235743566</v>
        <stp/>
        <stp>BDP|11531803114351862812</stp>
        <tr r="F9" s="2"/>
      </tp>
      <tp t="s">
        <v>#N/A Requesting Data...3695050448</v>
        <stp/>
        <stp>BDP|17750280324281015730</stp>
        <tr r="F20" s="2"/>
      </tp>
      <tp t="s">
        <v>#N/A Requesting Data...4097459027</v>
        <stp/>
        <stp>BDP|12055500611067822013</stp>
        <tr r="AJ31" s="338"/>
        <tr r="AJ32" s="338"/>
        <tr r="AH31" s="338"/>
        <tr r="AH32" s="338"/>
      </tp>
      <tp t="s">
        <v>#N/A N/A</v>
        <stp/>
        <stp>BDP|11265502119766043209</stp>
        <tr r="AI33" s="1"/>
        <tr r="AI34" s="1"/>
      </tp>
      <tp t="s">
        <v>#N/A Requesting Data...4253551026</v>
        <stp/>
        <stp>BDP|10712352949092709470</stp>
        <tr r="AA19" s="89"/>
        <tr r="Z19" s="89"/>
      </tp>
      <tp t="s">
        <v>#N/A Requesting Data...3925119179</v>
        <stp/>
        <stp>BDP|14336270361883873268</stp>
        <tr r="E62" s="89"/>
      </tp>
      <tp t="s">
        <v>#N/A Requesting Data...4243703206</v>
        <stp/>
        <stp>BDP|15783676161145872136</stp>
        <tr r="O12" s="252"/>
      </tp>
      <tp t="s">
        <v>#N/A N/A</v>
        <stp/>
        <stp>BDP|10827554593684445907</stp>
        <tr r="AG52" s="1"/>
        <tr r="AG53" s="1"/>
      </tp>
      <tp t="s">
        <v>#N/A Requesting Data...4065819739</v>
        <stp/>
        <stp>BDP|10651894387614235500</stp>
        <tr r="V138" s="89"/>
      </tp>
      <tp t="s">
        <v>#N/A Requesting Data...3864896054</v>
        <stp/>
        <stp>BDP|10435868994421818135</stp>
        <tr r="C32" s="2"/>
      </tp>
      <tp t="s">
        <v>#N/A Requesting Data...3793793133</v>
        <stp/>
        <stp>BDP|18017376398746707540</stp>
        <tr r="G37" s="446"/>
      </tp>
      <tp t="s">
        <v>#N/A N/A</v>
        <stp/>
        <stp>BDP|17365785494690778868</stp>
        <tr r="E5" s="1"/>
      </tp>
      <tp t="s">
        <v>#N/A Requesting Data...3884068801</v>
        <stp/>
        <stp>BDP|11154785569869703897</stp>
        <tr r="V101" s="89"/>
      </tp>
      <tp t="s">
        <v>#N/A Requesting Data...3863970153</v>
        <stp/>
        <stp>BDP|15429373874678916801</stp>
        <tr r="C55" s="89"/>
      </tp>
      <tp t="s">
        <v>#N/A Requesting Data...4227307402</v>
        <stp/>
        <stp>BDP|13462113802766482523</stp>
        <tr r="P51" s="338"/>
      </tp>
      <tp t="s">
        <v>#N/A Requesting Data...3493071000</v>
        <stp/>
        <stp>BDP|13507309990980542809</stp>
        <tr r="P54" s="338"/>
      </tp>
      <tp t="s">
        <v>#N/A N/A</v>
        <stp/>
        <stp>BDP|10629460632567404161</stp>
        <tr r="AF42" s="1"/>
        <tr r="AF43" s="1"/>
      </tp>
      <tp t="s">
        <v>#N/A N/A</v>
        <stp/>
        <stp>BDP|11658442792988593552</stp>
        <tr r="AC28" s="1"/>
      </tp>
      <tp t="s">
        <v>#N/A Requesting Data...3704349708</v>
        <stp/>
        <stp>BDP|13251961527568785177</stp>
        <tr r="L41" s="338"/>
        <tr r="H41" s="338"/>
        <tr r="L42" s="338"/>
        <tr r="H42" s="338"/>
      </tp>
      <tp t="s">
        <v>#N/A Requesting Data...4012376234</v>
        <stp/>
        <stp>BDP|10532025680450781936</stp>
        <tr r="T53" s="338"/>
      </tp>
      <tp t="s">
        <v>#N/A Requesting Data...3956636089</v>
        <stp/>
        <stp>BDP|15584846954420486925</stp>
        <tr r="V30" s="338"/>
      </tp>
      <tp t="s">
        <v>#N/A Requesting Data...4026099930</v>
        <stp/>
        <stp>BDP|12417922592843377049</stp>
        <tr r="V50" s="338"/>
      </tp>
      <tp t="s">
        <v>#N/A Requesting Data...4013085076</v>
        <stp/>
        <stp>BDP|15633972697785552118</stp>
        <tr r="V115" s="89"/>
      </tp>
      <tp t="s">
        <v>#N/A N/A</v>
        <stp/>
        <stp>BDP|15698160403534380128</stp>
        <tr r="AB24" s="1"/>
      </tp>
      <tp t="s">
        <v>#N/A Requesting Data...3808811028</v>
        <stp/>
        <stp>BDP|11998355979195097173</stp>
        <tr r="T160" s="89"/>
      </tp>
      <tp t="s">
        <v>#N/A Requesting Data...4063908922</v>
        <stp/>
        <stp>BDP|16353514989043023996</stp>
        <tr r="AH14" s="338"/>
        <tr r="AH35" s="338"/>
        <tr r="AJ14" s="338"/>
        <tr r="AJ35" s="338"/>
      </tp>
      <tp t="s">
        <v>#N/A Requesting Data...4012635694</v>
        <stp/>
        <stp>BDP|11157579934717202151</stp>
        <tr r="V136" s="89"/>
      </tp>
      <tp t="s">
        <v>#N/A Requesting Data...3553575840</v>
        <stp/>
        <stp>BDP|12276548317722131552</stp>
        <tr r="C154" s="89"/>
      </tp>
      <tp t="s">
        <v>#N/A Requesting Data...3968581323</v>
        <stp/>
        <stp>BDP|16176003730321499511</stp>
        <tr r="L9" s="338"/>
        <tr r="J9" s="338"/>
      </tp>
      <tp t="s">
        <v>#N/A Requesting Data...4250962683</v>
        <stp/>
        <stp>BDP|16488629082059415041</stp>
        <tr r="M15" s="252"/>
      </tp>
      <tp t="s">
        <v>#N/A N/A</v>
        <stp/>
        <stp>BDP|14076211675008116817</stp>
        <tr r="AB37" s="1"/>
      </tp>
      <tp t="s">
        <v>#N/A Requesting Data...3505262089</v>
        <stp/>
        <stp>BDP|13170702077463225105</stp>
        <tr r="V102" s="89"/>
      </tp>
      <tp t="s">
        <v>#N/A N/A</v>
        <stp/>
        <stp>BDP|10160955618080257998</stp>
        <tr r="AB36" s="1"/>
      </tp>
      <tp t="s">
        <v>#N/A Requesting Data...3597246234</v>
        <stp/>
        <stp>BDP|18267029483522135357</stp>
        <tr r="C19" s="89"/>
      </tp>
      <tp t="s">
        <v>#N/A N/A</v>
        <stp/>
        <stp>BDP|16301938465448635042</stp>
        <tr r="AG16" s="1"/>
      </tp>
      <tp t="s">
        <v>#N/A Requesting Data...4085355869</v>
        <stp/>
        <stp>BDP|15665722340580183729</stp>
        <tr r="AH17" s="338"/>
        <tr r="AH18" s="338"/>
      </tp>
      <tp t="s">
        <v>#N/A Requesting Data...4230012416</v>
        <stp/>
        <stp>BDP|10682710845653266163</stp>
        <tr r="E96" s="89"/>
      </tp>
      <tp t="s">
        <v>#N/A Requesting Data...3512390010</v>
        <stp/>
        <stp>BDP|10764751743486083471</stp>
        <tr r="E4" s="2"/>
      </tp>
      <tp t="s">
        <v>#N/A Requesting Data...4198200687</v>
        <stp/>
        <stp>BDP|14914589903223067341</stp>
        <tr r="AH31" s="338"/>
        <tr r="AH32" s="338"/>
      </tp>
      <tp t="s">
        <v>#N/A Requesting Data...4294419211</v>
        <stp/>
        <stp>BDP|10522863575107950990</stp>
        <tr r="Q51" s="338"/>
      </tp>
      <tp t="e">
        <v>#N/A</v>
        <stp/>
        <stp>BDH|10679287332265106583</stp>
        <tr r="AU13" s="338"/>
      </tp>
      <tp t="e">
        <v>#N/A</v>
        <stp/>
        <stp>BDH|16178915890910719731</stp>
        <tr r="AU42" s="338"/>
      </tp>
      <tp t="e">
        <v>#N/A</v>
        <stp/>
        <stp>BDH|14870782492343240879</stp>
        <tr r="AR11" s="338"/>
      </tp>
      <tp t="e">
        <v>#N/A</v>
        <stp/>
        <stp>BDH|11202689829564975077</stp>
        <tr r="AU18" s="338"/>
      </tp>
      <tp t="e">
        <v>#N/A</v>
        <stp/>
        <stp>BDH|10274153752942976738</stp>
        <tr r="AN52" s="338"/>
        <tr r="AN54" s="338"/>
        <tr r="AN53" s="338"/>
      </tp>
      <tp t="e">
        <v>#N/A</v>
        <stp/>
        <stp>BDH|18229185958314420996</stp>
        <tr r="AP32" s="338"/>
        <tr r="AP31" s="338"/>
      </tp>
      <tp t="s">
        <v>#N/A Real Time</v>
        <stp/>
        <stp>BDP|13109069317489889364|22</stp>
        <stp>SCH5C   6150 Index</stp>
        <stp>DELTA_MID_RT</stp>
        <tr r="W95" s="89"/>
      </tp>
      <tp t="s">
        <v>#N/A Requesting Data...3699024779</v>
        <stp/>
        <stp>BDP|10297523734239490992</stp>
        <tr r="AB62" s="1"/>
        <tr r="F19" s="446"/>
      </tp>
      <tp t="s">
        <v>#N/A Requesting Data...4240041199</v>
        <stp/>
        <stp>BDP|12796713228197729608</stp>
        <tr r="P20" s="252"/>
      </tp>
      <tp t="s">
        <v>#N/A Requesting Data...3814946251</v>
        <stp/>
        <stp>BDP|14277784462456832595</stp>
        <tr r="L17" s="338"/>
        <tr r="H17" s="338"/>
        <tr r="L18" s="338"/>
        <tr r="H18" s="338"/>
      </tp>
      <tp t="s">
        <v>#N/A N/A</v>
        <stp/>
        <stp>BDP|13534980394766736373</stp>
        <tr r="AG58" s="1"/>
        <tr r="AG59" s="1"/>
      </tp>
      <tp t="s">
        <v>#N/A Requesting Data...3880240603</v>
        <stp/>
        <stp>BDP|17797289754802274410</stp>
        <tr r="AH16" s="338"/>
        <tr r="AH38" s="338"/>
        <tr r="AH40" s="338"/>
      </tp>
      <tp t="s">
        <v>#N/A Requesting Data...3810248659</v>
        <stp/>
        <stp>BDP|10811773521330276340</stp>
        <tr r="F42" s="446"/>
      </tp>
      <tp t="s">
        <v>#N/A Requesting Data...3710038524</v>
        <stp/>
        <stp>BDP|10555016852265553684</stp>
        <tr r="V222" s="89"/>
      </tp>
      <tp>
        <v>25417.25</v>
        <stp/>
        <stp>BDP|9834598325284437758|22</stp>
        <stp>2OH6 Index</stp>
        <stp>LAST_PRICE</stp>
        <tr r="S154" s="89"/>
      </tp>
      <tp t="s">
        <v>#N/A Requesting Data...3697806689</v>
        <stp/>
        <stp>BDP|11364787337662503131</stp>
        <tr r="L48" s="338"/>
        <tr r="J48" s="338"/>
        <tr r="L49" s="338"/>
        <tr r="J49" s="338"/>
      </tp>
      <tp t="s">
        <v>#N/A N/A</v>
        <stp/>
        <stp>BDP|13295681926322217334</stp>
        <tr r="AG33" s="1"/>
        <tr r="AG34" s="1"/>
      </tp>
      <tp t="s">
        <v>#N/A Requesting Data...3843468643</v>
        <stp/>
        <stp>BDP|10592355801820537596</stp>
        <tr r="V225" s="89"/>
      </tp>
      <tp t="s">
        <v>#N/A Requesting Data...4062428014</v>
        <stp/>
        <stp>BDP|12754284242295866781</stp>
        <tr r="Y6" s="252"/>
      </tp>
      <tp t="s">
        <v>#N/A Requesting Data...4112677991</v>
        <stp/>
        <stp>BDP|18269203655158880133</stp>
        <tr r="F39" s="446"/>
      </tp>
      <tp t="s">
        <v>#N/A Requesting Data...3814112656</v>
        <stp/>
        <stp>BDP|12227291512562192542</stp>
        <tr r="AJ37" s="338"/>
      </tp>
      <tp t="s">
        <v>#N/A Requesting Data...4112910446</v>
        <stp/>
        <stp>BDP|17322193427757438550</stp>
        <tr r="V82" s="89"/>
        <tr r="AD7" s="2"/>
      </tp>
      <tp t="s">
        <v>#N/A Requesting Data...3640450084</v>
        <stp/>
        <stp>BDP|10439367344074999538</stp>
        <tr r="E13" s="89"/>
      </tp>
      <tp t="s">
        <v>#N/A Requesting Data...3620037320</v>
        <stp/>
        <stp>BDP|16951549404092060765</stp>
        <tr r="V109" s="89"/>
      </tp>
      <tp t="s">
        <v>#N/A Requesting Data...3915964990</v>
        <stp/>
        <stp>BDP|11386689669882555588</stp>
        <tr r="E122" s="89"/>
      </tp>
      <tp t="s">
        <v>#N/A Requesting Data...3545105787</v>
        <stp/>
        <stp>BDP|16385386864915757060</stp>
        <tr r="T54" s="338"/>
      </tp>
      <tp t="s">
        <v>#N/A N/A</v>
        <stp/>
        <stp>BDP|10799626579213180430</stp>
        <tr r="AC60" s="1"/>
      </tp>
      <tp t="s">
        <v>#N/A N/A</v>
        <stp/>
        <stp>BDP|13639162762852624052</stp>
        <tr r="AF40" s="1"/>
        <tr r="AF41" s="1"/>
      </tp>
      <tp t="s">
        <v>#N/A Requesting Data...3936297666</v>
        <stp/>
        <stp>BDP|16302213673966019302</stp>
        <tr r="V224" s="89"/>
      </tp>
      <tp t="s">
        <v>#N/A Requesting Data...4060401109</v>
        <stp/>
        <stp>BDP|14172029208847257580</stp>
        <tr r="V42" s="338"/>
      </tp>
      <tp t="s">
        <v>#N/A Requesting Data...3903536120</v>
        <stp/>
        <stp>BDP|10374609618263940213</stp>
        <tr r="S30" s="338"/>
      </tp>
      <tp t="s">
        <v>#N/A Requesting Data...3710561345</v>
        <stp/>
        <stp>BDP|11156706822837900596</stp>
        <tr r="V51" s="338"/>
      </tp>
      <tp t="s">
        <v>#N/A Requesting Data...4206356378</v>
        <stp/>
        <stp>BDP|18365939499897354990</stp>
        <tr r="D160" s="89"/>
      </tp>
      <tp t="s">
        <v>#N/A Requesting Data...4151535896</v>
        <stp/>
        <stp>BDP|11064610705050727104</stp>
        <tr r="V137" s="89"/>
      </tp>
      <tp t="s">
        <v>#N/A Requesting Data...4164536565</v>
        <stp/>
        <stp>BDP|12392107104434168158</stp>
        <tr r="AI42" s="338"/>
      </tp>
      <tp t="s">
        <v>#N/A Real Time</v>
        <stp/>
        <stp>BDP|7747819095149770142|22</stp>
        <stp>4OM5 Index</stp>
        <stp>LAST_PRICE</stp>
        <tr r="S115" s="89"/>
        <tr r="S116" s="89"/>
      </tp>
      <tp t="s">
        <v>#N/A Requesting Data...4251093931</v>
        <stp/>
        <stp>BDP|16272552922964616315</stp>
        <tr r="T129" s="89"/>
      </tp>
      <tp t="s">
        <v>#N/A Requesting Data...3995594076</v>
        <stp/>
        <stp>BDP|10078809003498061665</stp>
        <tr r="AH12" s="338"/>
      </tp>
      <tp t="s">
        <v>#N/A Requesting Data...3802041800</v>
        <stp/>
        <stp>BDP|11346506323885413513</stp>
        <tr r="E24" s="2"/>
      </tp>
      <tp t="s">
        <v>#N/A Requesting Data...3749771810</v>
        <stp/>
        <stp>BDP|11277689408467201656</stp>
        <tr r="T13" s="338"/>
      </tp>
      <tp t="s">
        <v>#N/A Requesting Data...3878168445</v>
        <stp/>
        <stp>BDP|13974956684510873453</stp>
        <tr r="D123" s="89"/>
      </tp>
      <tp t="s">
        <v>#N/A Requesting Data...4250629543</v>
        <stp/>
        <stp>BDP|10427861548958967244</stp>
        <tr r="AJ55" s="338"/>
        <tr r="AK14" s="338"/>
        <tr r="AK55" s="338"/>
      </tp>
      <tp t="s">
        <v>#N/A Requesting Data...3879946122</v>
        <stp/>
        <stp>BDP|12964383061440508121</stp>
        <tr r="S49" s="338"/>
      </tp>
      <tp t="s">
        <v>#N/A N/A</v>
        <stp/>
        <stp>BDP|14575329620523399036</stp>
        <tr r="AG37" s="1"/>
      </tp>
      <tp t="s">
        <v>#N/A Requesting Data...3668287170</v>
        <stp/>
        <stp>BDP|17935753969917403773</stp>
        <tr r="F11" s="252"/>
      </tp>
      <tp t="s">
        <v>#N/A Requesting Data...3695042717</v>
        <stp/>
        <stp>BDP|16562085350705983025</stp>
        <tr r="D223" s="89"/>
      </tp>
      <tp t="s">
        <v>#N/A Requesting Data...4153483160</v>
        <stp/>
        <stp>BDP|12893396681958013760</stp>
        <tr r="C95" s="89"/>
      </tp>
      <tp t="e">
        <v>#N/A</v>
        <stp/>
        <stp>BDH|12026256062648550816</stp>
        <tr r="AR53" s="338"/>
        <tr r="AR10" s="338"/>
        <tr r="AM48" s="338"/>
        <tr r="AM47" s="338"/>
        <tr r="AM44" s="338"/>
      </tp>
      <tp t="e">
        <v>#N/A</v>
        <stp/>
        <stp>BDH|10658776607639471809</stp>
        <tr r="J18" s="252"/>
      </tp>
      <tp t="e">
        <v>#N/A</v>
        <stp/>
        <stp>BDH|12310786059820639606</stp>
        <tr r="AP8" s="338"/>
        <tr r="AP9" s="338"/>
      </tp>
      <tp t="e">
        <v>#N/A</v>
        <stp/>
        <stp>BDH|16257316692138899230</stp>
        <tr r="AS45" s="338"/>
      </tp>
      <tp t="s">
        <v>USD</v>
        <stp/>
        <stp>BDP|2423561100599861373|22</stp>
        <stp>INTC US 07/17/26 P40 Equity</stp>
        <stp>QUOTED_CURRENCY_REALTIME</stp>
        <tr r="G26" s="2"/>
        <tr r="F197" s="89"/>
        <tr r="G27" s="2"/>
      </tp>
      <tp>
        <v>9</v>
        <stp/>
        <stp>BDP|8949872558870802689|22</stp>
        <stp>MSFT US 02/20/26 P410 Equity</stp>
        <stp>bid</stp>
        <tr r="K213" s="89"/>
      </tp>
      <tp>
        <v>40.25</v>
        <stp/>
        <stp>BDP|5005092167591802286|22</stp>
        <stp>META US 04/17/26 C690 Equity</stp>
        <stp>bid</stp>
        <tr r="K169" s="89"/>
      </tp>
      <tp t="s">
        <v>#N/A Requesting Data...3609686911</v>
        <stp/>
        <stp>BDP|17890634738740236582</stp>
        <tr r="V50" s="89"/>
      </tp>
      <tp t="s">
        <v>#N/A Requesting Data...3590382520</v>
        <stp/>
        <stp>BDP|14882631572614102616</stp>
        <tr r="S10" s="252"/>
      </tp>
      <tp t="s">
        <v>#N/A Requesting Data...3911392090</v>
        <stp/>
        <stp>BDP|14531256854956960242</stp>
        <tr r="C196" s="89"/>
        <tr r="D25" s="2"/>
      </tp>
      <tp t="s">
        <v>#N/A Requesting Data...3981104775</v>
        <stp/>
        <stp>BDP|14222470646161364298</stp>
        <tr r="C14" s="2"/>
      </tp>
      <tp t="s">
        <v>#N/A Requesting Data...4277855546</v>
        <stp/>
        <stp>BDP|13396250829954504031</stp>
        <tr r="O222" s="89"/>
      </tp>
      <tp t="s">
        <v>#N/A N/A</v>
        <stp/>
        <stp>BDP|16743111997910887902</stp>
        <tr r="AB17" s="1"/>
        <tr r="AB18" s="1"/>
      </tp>
      <tp t="s">
        <v>#N/A Requesting Data...4293742545</v>
        <stp/>
        <stp>BDP|10945708544476734221</stp>
        <tr r="E82" s="89"/>
        <tr r="F7" s="2"/>
      </tp>
      <tp t="s">
        <v>#N/A Requesting Data...4059273587</v>
        <stp/>
        <stp>BDP|15533785147578790955</stp>
        <tr r="Q42" s="338"/>
      </tp>
      <tp t="s">
        <v>#N/A N/A</v>
        <stp/>
        <stp>BDP|17370707244810639397</stp>
        <tr r="AC5" s="2"/>
      </tp>
      <tp t="s">
        <v>#N/A Requesting Data...3842877310</v>
        <stp/>
        <stp>BDP|14546342925643453186</stp>
        <tr r="L8" s="338"/>
        <tr r="J8" s="338"/>
        <tr r="L32" s="338"/>
        <tr r="J32" s="338"/>
        <tr r="L46" s="338"/>
        <tr r="J46" s="338"/>
        <tr r="L50" s="338"/>
        <tr r="J50" s="338"/>
      </tp>
      <tp t="s">
        <v>#N/A Requesting Data...4065151275</v>
        <stp/>
        <stp>BDP|14404809696233932105</stp>
        <tr r="E34" s="89"/>
      </tp>
      <tp t="s">
        <v>#N/A Requesting Data...4126520579</v>
        <stp/>
        <stp>BDP|16114816352785885914</stp>
        <tr r="O39" s="89"/>
      </tp>
      <tp t="s">
        <v>#N/A Requesting Data...4253040343</v>
        <stp/>
        <stp>BDP|15404493773766767722</stp>
        <tr r="G36" s="446"/>
      </tp>
      <tp t="s">
        <v>#N/A Requesting Data...4071044316</v>
        <stp/>
        <stp>BDP|10498485443064599312</stp>
        <tr r="X50" s="338"/>
      </tp>
      <tp t="s">
        <v>#N/A Requesting Data...4039651920</v>
        <stp/>
        <stp>BDP|18114698683463557242</stp>
        <tr r="AF62" s="1"/>
        <tr r="AG9" s="338"/>
      </tp>
      <tp t="s">
        <v>#N/A Requesting Data...4170272335</v>
        <stp/>
        <stp>BDP|14185986357608085749</stp>
        <tr r="V44" s="338"/>
      </tp>
      <tp t="s">
        <v>#N/A Requesting Data...3637347768</v>
        <stp/>
        <stp>BDP|11418046365811941163</stp>
        <tr r="E50" s="89"/>
      </tp>
      <tp t="s">
        <v>#N/A Requesting Data...3893411444</v>
        <stp/>
        <stp>BDP|13775077133931138686</stp>
        <tr r="AH41" s="338"/>
        <tr r="AH42" s="338"/>
        <tr r="AJ41" s="338"/>
        <tr r="AJ42" s="338"/>
      </tp>
      <tp t="s">
        <v>#N/A Requesting Data...4034446086</v>
        <stp/>
        <stp>BDP|15710273126027498587</stp>
        <tr r="E68" s="89"/>
      </tp>
      <tp t="s">
        <v>#N/A Requesting Data...4242186574</v>
        <stp/>
        <stp>BDP|17601997833672663804</stp>
        <tr r="AA234" s="89"/>
        <tr r="Z234" s="89"/>
      </tp>
      <tp t="s">
        <v>#N/A Requesting Data...3932862847</v>
        <stp/>
        <stp>BDP|14627889356148517678</stp>
        <tr r="E195" s="89"/>
      </tp>
      <tp t="s">
        <v>#N/A Requesting Data...3783582466</v>
        <stp/>
        <stp>BDP|14232577743505528792</stp>
        <tr r="F7" s="252"/>
      </tp>
      <tp t="s">
        <v>#N/A N/A</v>
        <stp/>
        <stp>BDP|14556104661927858316</stp>
        <tr r="N6" s="1"/>
      </tp>
      <tp t="s">
        <v>#N/A Requesting Data...4149461867</v>
        <stp/>
        <stp>BDP|17848755087998009764</stp>
        <tr r="O49" s="89"/>
      </tp>
      <tp t="s">
        <v>#N/A Requesting Data...3635246884</v>
        <stp/>
        <stp>BDP|12341108167772818008</stp>
        <tr r="T35" s="338"/>
      </tp>
      <tp t="s">
        <v>#N/A Requesting Data...3825645144</v>
        <stp/>
        <stp>BDP|10253727379283384458</stp>
        <tr r="C56" s="89"/>
      </tp>
      <tp t="s">
        <v>#N/A Requesting Data...3965197569</v>
        <stp/>
        <stp>BDP|13772195236723550526</stp>
        <tr r="X55" s="338"/>
      </tp>
      <tp t="s">
        <v>#N/A N/A</v>
        <stp/>
        <stp>BDP|12837015656112592245</stp>
        <tr r="AC30" s="2"/>
      </tp>
      <tp t="s">
        <v>#N/A Requesting Data...4044624650</v>
        <stp/>
        <stp>BDP|12702822838908053632</stp>
        <tr r="C22" s="2"/>
      </tp>
      <tp t="s">
        <v>#N/A Requesting Data...3890474709</v>
        <stp/>
        <stp>BDP|17524118567766475161</stp>
        <tr r="F20" s="252"/>
      </tp>
      <tp t="s">
        <v>#N/A Requesting Data...3738123982</v>
        <stp/>
        <stp>BDP|13483096816386354391</stp>
        <tr r="S54" s="338"/>
      </tp>
      <tp t="s">
        <v>#N/A Requesting Data...4268497887</v>
        <stp/>
        <stp>BDP|16190103000157320731</stp>
        <tr r="V144" s="89"/>
      </tp>
      <tp t="s">
        <v>#N/A Requesting Data...3608389007</v>
        <stp/>
        <stp>BDP|12052868717818962496</stp>
        <tr r="AI32" s="338"/>
        <tr r="AI46" s="338"/>
        <tr r="AI50" s="338"/>
        <tr r="AI8" s="338"/>
      </tp>
      <tp t="s">
        <v>#N/A N/A</v>
        <stp/>
        <stp>BDP|14605168762492000638</stp>
        <tr r="K38" s="1"/>
      </tp>
      <tp t="s">
        <v>#N/A Requesting Data...3600807791</v>
        <stp/>
        <stp>BDP|12678050625094398357</stp>
        <tr r="AC49" s="1"/>
        <tr r="AC50" s="1"/>
        <tr r="D35" s="446"/>
      </tp>
      <tp t="s">
        <v>#N/A Requesting Data...4148464113</v>
        <stp/>
        <stp>BDP|10174429034410523025</stp>
        <tr r="E5" s="2"/>
      </tp>
      <tp t="s">
        <v>#N/A Requesting Data...4047246349</v>
        <stp/>
        <stp>BDP|13691107662271159260</stp>
        <tr r="AR31" s="2"/>
      </tp>
      <tp t="s">
        <v>#N/A N/A</v>
        <stp/>
        <stp>BDP|14541260223906476575</stp>
        <tr r="K24" s="1"/>
      </tp>
      <tp t="s">
        <v>#N/A Requesting Data...3781833881</v>
        <stp/>
        <stp>BDP|15357058437984658543</stp>
        <tr r="E108" s="89"/>
      </tp>
      <tp t="s">
        <v>#N/A Requesting Data...4211969880</v>
        <stp/>
        <stp>BDP|16659872155264627810</stp>
        <tr r="O81" s="89"/>
        <tr r="T6" s="2"/>
      </tp>
      <tp t="s">
        <v>#N/A N/A</v>
        <stp/>
        <stp>BDP|13548034063303146173</stp>
        <tr r="AC22" s="2"/>
        <tr r="AC23" s="2"/>
        <tr r="AC6" s="2"/>
        <tr r="AC7" s="2"/>
      </tp>
      <tp t="s">
        <v>#N/A Requesting Data...3850030594</v>
        <stp/>
        <stp>BDP|15243317262926618151</stp>
        <tr r="AA213" s="89"/>
        <tr r="Z213" s="89"/>
      </tp>
      <tp t="s">
        <v>#N/A N/A</v>
        <stp/>
        <stp>BDP|12760762958325303288</stp>
        <tr r="K49" s="1"/>
      </tp>
      <tp t="s">
        <v>#N/A Requesting Data...4119894378</v>
        <stp/>
        <stp>BDP|16678311834407962683</stp>
        <tr r="V180" s="89"/>
      </tp>
      <tp t="s">
        <v>#N/A N/A</v>
        <stp/>
        <stp>BDP|17610933289947663688</stp>
        <tr r="K51" s="1"/>
      </tp>
      <tp t="s">
        <v>#N/A Requesting Data...3919088932</v>
        <stp/>
        <stp>BDP|10809595656630258773</stp>
        <tr r="N8" s="252"/>
        <tr r="N8" s="252"/>
      </tp>
      <tp t="s">
        <v>#N/A Requesting Data...4224289792</v>
        <stp/>
        <stp>BDP|15482360455911690553</stp>
        <tr r="Q31" s="338"/>
      </tp>
      <tp t="s">
        <v>#N/A Requesting Data...3689326610</v>
        <stp/>
        <stp>BDP|11136935115988096638</stp>
        <tr r="AJ17" s="338"/>
        <tr r="AJ18" s="338"/>
      </tp>
      <tp t="s">
        <v>#N/A Requesting Data...4262484260</v>
        <stp/>
        <stp>BDP|14358511645816316403</stp>
        <tr r="E81" s="89"/>
      </tp>
      <tp t="s">
        <v>#N/A Requesting Data...3846468567</v>
        <stp/>
        <stp>BDP|18344672223928166325</stp>
        <tr r="V49" s="89"/>
      </tp>
      <tp t="s">
        <v>#N/A Requesting Data...3654973240</v>
        <stp/>
        <stp>BDP|17117535562106038540</stp>
        <tr r="X35" s="338"/>
      </tp>
      <tp t="s">
        <v>#N/A Requesting Data...3889486751</v>
        <stp/>
        <stp>BDP|11947265064485960753</stp>
        <tr r="U32" s="338"/>
      </tp>
      <tp t="s">
        <v>#N/A Requesting Data...4092199665</v>
        <stp/>
        <stp>BDP|16417427955559579911</stp>
        <tr r="AA187" s="89"/>
        <tr r="Z187" s="89"/>
      </tp>
      <tp t="s">
        <v>#N/A N/A</v>
        <stp/>
        <stp>BDP|13856641820218803820</stp>
        <tr r="AB13" s="1"/>
      </tp>
      <tp t="e">
        <v>#N/A</v>
        <stp/>
        <stp>BDH|16648462721415519259</stp>
        <tr r="AU30" s="338"/>
      </tp>
      <tp t="e">
        <v>#N/A</v>
        <stp/>
        <stp>BDH|15465710644568509976</stp>
        <tr r="AM50" s="338"/>
        <tr r="AR35" s="338"/>
        <tr r="AR34" s="338"/>
        <tr r="AR37" s="338"/>
        <tr r="AM51" s="338"/>
        <tr r="AR36" s="338"/>
      </tp>
      <tp>
        <v>85.87</v>
        <stp/>
        <stp>BDP|2057497571936690391|22</stp>
        <stp>XLP Equity</stp>
        <stp>LAST_PRICE</stp>
        <tr r="I62" s="1"/>
      </tp>
      <tp t="e">
        <v>#N/A</v>
        <stp/>
        <stp>BDH|14841814459759862757</stp>
        <tr r="T19" s="252"/>
        <tr r="W19" s="252"/>
      </tp>
      <tp t="e">
        <v>#N/A</v>
        <stp/>
        <stp>BDH|13379922788243716607</stp>
        <tr r="AM29" s="338"/>
        <tr r="AM30" s="338"/>
      </tp>
      <tp t="e">
        <v>#N/A</v>
        <stp/>
        <stp>BDH|17663640529772248671</stp>
        <tr r="J15" s="252"/>
      </tp>
      <tp>
        <v>87.19</v>
        <stp/>
        <stp>BDP|9722167412074972561|22</stp>
        <stp>MXCN Index</stp>
        <stp>LAST_PRICE</stp>
        <tr r="H17" s="252"/>
        <tr r="H17" s="252"/>
      </tp>
      <tp>
        <v>41.97</v>
        <stp/>
        <stp>BDP|8316763994800088980|22</stp>
        <stp>META US 07/17/26 C750 Equity</stp>
        <stp>mid</stp>
        <tr r="L12" s="2"/>
        <tr r="L13" s="2"/>
      </tp>
      <tp t="s">
        <v>#N/A N/A</v>
        <stp/>
        <stp>BDP|12136399326041179666</stp>
        <tr r="AC57" s="1"/>
      </tp>
      <tp t="s">
        <v>#N/A Requesting Data...4215920404</v>
        <stp/>
        <stp>BDP|17547210857960973439</stp>
        <tr r="D22" s="2"/>
      </tp>
      <tp t="s">
        <v>#N/A Requesting Data...4097906464</v>
        <stp/>
        <stp>BDP|13908722067493576503</stp>
        <tr r="E204" s="89"/>
      </tp>
      <tp t="s">
        <v>#N/A Requesting Data...3985813618</v>
        <stp/>
        <stp>BDP|17506313141244542095</stp>
        <tr r="O55" s="89"/>
      </tp>
      <tp t="s">
        <v>#N/A N/A</v>
        <stp/>
        <stp>BDP|14359282660695781141</stp>
        <tr r="AI60" s="1"/>
      </tp>
      <tp t="s">
        <v>#N/A Requesting Data...4234778651</v>
        <stp/>
        <stp>BDP|10129483373656687141</stp>
        <tr r="Q12" s="338"/>
      </tp>
      <tp t="s">
        <v>#N/A N/A</v>
        <stp/>
        <stp>BDP|12194689278231069699</stp>
        <tr r="AI12" s="1"/>
      </tp>
      <tp t="s">
        <v>#N/A N/A</v>
        <stp/>
        <stp>BDP|15839339977736656325</stp>
        <tr r="AQ9" s="2"/>
      </tp>
      <tp t="s">
        <v>#N/A Requesting Data...3643334431</v>
        <stp/>
        <stp>BDP|10441895032989795603</stp>
        <tr r="AI11" s="338"/>
      </tp>
      <tp t="s">
        <v>#N/A Requesting Data...4269815314</v>
        <stp/>
        <stp>BDP|14441106816594061499</stp>
        <tr r="C123" s="89"/>
      </tp>
      <tp t="s">
        <v>#N/A Requesting Data...3929869260</v>
        <stp/>
        <stp>BDP|16851834935831563802</stp>
        <tr r="T8" s="2"/>
      </tp>
      <tp t="s">
        <v>#N/A Requesting Data...3966768135</v>
        <stp/>
        <stp>BDP|14192014209218566878</stp>
        <tr r="T34" s="89"/>
      </tp>
      <tp t="s">
        <v>#N/A Requesting Data...3744677101</v>
        <stp/>
        <stp>BDP|10621393406300641759</stp>
        <tr r="O75" s="89"/>
      </tp>
      <tp t="s">
        <v>#N/A N/A</v>
        <stp/>
        <stp>BDP|17582662641918081985</stp>
        <tr r="K16" s="1"/>
      </tp>
      <tp t="s">
        <v>#N/A Requesting Data...4121917603</v>
        <stp/>
        <stp>BDP|16150678046234374495</stp>
        <tr r="T37" s="338"/>
      </tp>
      <tp t="s">
        <v>#N/A Requesting Data...3870598861</v>
        <stp/>
        <stp>BDP|10105086226736772027</stp>
        <tr r="C75" s="89"/>
      </tp>
      <tp t="s">
        <v>#N/A Requesting Data...4009315368</v>
        <stp/>
        <stp>BDP|11019717141062892428</stp>
        <tr r="D222" s="89"/>
      </tp>
      <tp t="s">
        <v>#N/A Requesting Data...4000593393</v>
        <stp/>
        <stp>BDP|17303082674511603530</stp>
        <tr r="C180" s="89"/>
      </tp>
      <tp t="s">
        <v>#N/A Requesting Data...3930890187</v>
        <stp/>
        <stp>BDP|13677881495424052263</stp>
        <tr r="V46" s="338"/>
      </tp>
      <tp t="s">
        <v>#N/A Requesting Data...4007494060</v>
        <stp/>
        <stp>BDP|11697784175497336241</stp>
        <tr r="F11" s="2"/>
      </tp>
      <tp t="s">
        <v>#N/A Requesting Data...3659509944</v>
        <stp/>
        <stp>BDP|17810208191751672937</stp>
        <tr r="U53" s="338"/>
      </tp>
      <tp t="s">
        <v>#N/A Requesting Data...4006513223</v>
        <stp/>
        <stp>BDP|13362587002474685639</stp>
        <tr r="G33" s="446"/>
      </tp>
      <tp t="s">
        <v>#N/A Requesting Data...3784852246</v>
        <stp/>
        <stp>BDP|16899941434131056972</stp>
        <tr r="AH44" s="338"/>
        <tr r="AH47" s="338"/>
        <tr r="AH48" s="338"/>
        <tr r="AI10" s="338"/>
        <tr r="AI53" s="338"/>
        <tr r="AJ44" s="338"/>
        <tr r="AJ47" s="338"/>
        <tr r="AJ48" s="338"/>
        <tr r="AK10" s="338"/>
        <tr r="AK53" s="338"/>
      </tp>
      <tp t="s">
        <v>#N/A Requesting Data...3966098728</v>
        <stp/>
        <stp>BDP|11902077291294537854</stp>
        <tr r="T234" s="89"/>
      </tp>
      <tp t="s">
        <v>#N/A Requesting Data...3791529646</v>
        <stp/>
        <stp>BDP|10953387444814317799</stp>
        <tr r="S18" s="252"/>
      </tp>
      <tp t="s">
        <v>#N/A Requesting Data...3972077188</v>
        <stp/>
        <stp>BDP|16095389787508071105</stp>
        <tr r="V11" s="338"/>
      </tp>
      <tp t="s">
        <v>#N/A Requesting Data...3811466889</v>
        <stp/>
        <stp>BDP|11580587764812660407</stp>
        <tr r="P48" s="338"/>
      </tp>
      <tp t="s">
        <v>#N/A N/A</v>
        <stp/>
        <stp>BDP|14006343299942798856</stp>
        <tr r="AI25" s="1"/>
        <tr r="AI26" s="1"/>
      </tp>
      <tp t="s">
        <v>#N/A Requesting Data...4010913870</v>
        <stp/>
        <stp>BDP|17497065227856309790</stp>
        <tr r="AI15" s="338"/>
        <tr r="AI16" s="338"/>
        <tr r="AI17" s="338"/>
        <tr r="AI38" s="338"/>
        <tr r="AI39" s="338"/>
        <tr r="AI44" s="338"/>
        <tr r="AI52" s="338"/>
      </tp>
      <tp t="s">
        <v>#N/A Requesting Data...3843695071</v>
        <stp/>
        <stp>BDP|15878521351180442107</stp>
        <tr r="D109" s="89"/>
      </tp>
      <tp t="s">
        <v>#N/A Requesting Data...3983650912</v>
        <stp/>
        <stp>BDP|12062717686630053994</stp>
        <tr r="V188" s="89"/>
      </tp>
      <tp>
        <v>25418.5</v>
        <stp/>
        <stp>BDP|5100640861095501669|22</stp>
        <stp>1OH6 Index</stp>
        <stp>LAST_PRICE</stp>
        <tr r="S153" s="89"/>
      </tp>
      <tp t="s">
        <v>#N/A Requesting Data...3861525258</v>
        <stp/>
        <stp>BDP|13970059459100158254</stp>
        <tr r="T222" s="89"/>
      </tp>
      <tp t="s">
        <v>#N/A Requesting Data...4039346402</v>
        <stp/>
        <stp>BDP|10930560316549062982</stp>
        <tr r="C160" s="89"/>
      </tp>
      <tp t="s">
        <v>#N/A N/A</v>
        <stp/>
        <stp>BDP|17624673723155105222</stp>
        <tr r="AB61" s="1"/>
      </tp>
      <tp t="s">
        <v>#N/A Requesting Data...3962636161</v>
        <stp/>
        <stp>BDP|16023917640776957980</stp>
        <tr r="AI11" s="338"/>
        <tr r="AK11" s="338"/>
      </tp>
      <tp t="s">
        <v>#N/A Requesting Data...3918550592</v>
        <stp/>
        <stp>BDP|14437871301241284935</stp>
        <tr r="AJ36" s="338"/>
      </tp>
      <tp t="s">
        <v>#N/A Requesting Data...3926293587</v>
        <stp/>
        <stp>BDP|11214745035248274920</stp>
        <tr r="V32" s="338"/>
      </tp>
      <tp t="s">
        <v>#N/A Requesting Data...4056289615</v>
        <stp/>
        <stp>BDP|12168490429210433067</stp>
        <tr r="T169" s="89"/>
      </tp>
      <tp t="s">
        <v>#N/A Requesting Data...4280919616</v>
        <stp/>
        <stp>BDP|11625676250200786659</stp>
        <tr r="T32" s="338"/>
      </tp>
      <tp t="s">
        <v>#N/A Requesting Data...4043707353</v>
        <stp/>
        <stp>BDP|13296159244091423359</stp>
        <tr r="P29" s="338"/>
      </tp>
      <tp t="s">
        <v>#N/A N/A</v>
        <stp/>
        <stp>BDP|18042899846108511886</stp>
        <tr r="AB237" s="89"/>
        <tr r="AB33" s="89"/>
        <tr r="AB34" s="89"/>
        <tr r="AB39" s="89"/>
        <tr r="AB40" s="89"/>
        <tr r="AQ8" s="2"/>
      </tp>
      <tp t="s">
        <v>#N/A Requesting Data...4228615914</v>
        <stp/>
        <stp>BDP|10190934152880793852</stp>
        <tr r="X52" s="338"/>
      </tp>
      <tp t="s">
        <v>#N/A Requesting Data...4059300908</v>
        <stp/>
        <stp>BDP|14059396921424230587</stp>
        <tr r="AF52" s="1"/>
        <tr r="AF53" s="1"/>
        <tr r="AF14" s="338"/>
        <tr r="AF35" s="338"/>
      </tp>
      <tp t="s">
        <v>#N/A Requesting Data...4060650439</v>
        <stp/>
        <stp>BDP|12679894611876997952</stp>
        <tr r="S44" s="338"/>
      </tp>
      <tp t="s">
        <v>#N/A Requesting Data...4241918863</v>
        <stp/>
        <stp>BDP|16746828299737809411</stp>
        <tr r="C26" s="89"/>
      </tp>
      <tp t="s">
        <v>#N/A Requesting Data...3923417459</v>
        <stp/>
        <stp>BDP|12166373874230381241</stp>
        <tr r="C26" s="2"/>
        <tr r="C27" s="2"/>
      </tp>
      <tp t="s">
        <v>#N/A N/A</v>
        <stp/>
        <stp>BDP|10330199677783039183</stp>
        <tr r="AB49" s="89"/>
        <tr r="AB50" s="89"/>
      </tp>
      <tp t="s">
        <v>#N/A Requesting Data...3940050230</v>
        <stp/>
        <stp>BDP|17956776735294864366</stp>
        <tr r="E145" s="89"/>
      </tp>
      <tp t="s">
        <v>#N/A Requesting Data...3854271546</v>
        <stp/>
        <stp>BDP|13164210523337526031</stp>
        <tr r="E89" s="89"/>
      </tp>
      <tp t="s">
        <v>#N/A Requesting Data...4182954622</v>
        <stp/>
        <stp>BDP|10130888374289856216</stp>
        <tr r="U13" s="338"/>
      </tp>
      <tp t="s">
        <v>#N/A Requesting Data...4243822236</v>
        <stp/>
        <stp>BDP|18285644343839945789</stp>
        <tr r="AA212" s="89"/>
        <tr r="Z212" s="89"/>
      </tp>
      <tp t="s">
        <v>#N/A Requesting Data...4020719807</v>
        <stp/>
        <stp>BDP|12072061123567199335</stp>
        <tr r="X16" s="338"/>
        <tr r="X38" s="338"/>
      </tp>
      <tp t="s">
        <v>#N/A Requesting Data...3803298867</v>
        <stp/>
        <stp>BDP|10337841861653211939</stp>
        <tr r="AB58" s="1"/>
        <tr r="AB59" s="1"/>
        <tr r="F14" s="446"/>
      </tp>
      <tp t="s">
        <v>#N/A Requesting Data...3759222197</v>
        <stp/>
        <stp>BDP|18326683177665379882</stp>
        <tr r="Q36" s="338"/>
      </tp>
      <tp t="s">
        <v>#N/A Requesting Data...3917499977</v>
        <stp/>
        <stp>BDP|13510264833692721404</stp>
        <tr r="U49" s="338"/>
      </tp>
      <tp t="s">
        <v>#N/A N/A</v>
        <stp/>
        <stp>BDP|12370547281383201820</stp>
        <tr r="AG25" s="1"/>
        <tr r="AG26" s="1"/>
      </tp>
      <tp t="s">
        <v>#N/A N/A</v>
        <stp/>
        <stp>BDP|11243430201469561835</stp>
        <tr r="AI46" s="1"/>
        <tr r="AI47" s="1"/>
        <tr r="AI48" s="1"/>
      </tp>
      <tp t="e">
        <v>#N/A</v>
        <stp/>
        <stp>BDH|13601424513966628475</stp>
        <tr r="AR32" s="338"/>
        <tr r="AR8" s="338"/>
        <tr r="AR50" s="338"/>
        <tr r="AR46" s="338"/>
      </tp>
      <tp t="e">
        <v>#N/A</v>
        <stp/>
        <stp>BDH|13491740754324205102</stp>
        <tr r="AM13" s="338"/>
        <tr r="AM34" s="338"/>
      </tp>
      <tp t="e">
        <v>#N/A</v>
        <stp/>
        <stp>BDH|14787871165809047737</stp>
        <tr r="J10" s="252"/>
      </tp>
      <tp t="e">
        <v>#N/A</v>
        <stp/>
        <stp>BDH|10495364400687874036</stp>
        <tr r="AP41" s="338"/>
        <tr r="AP42" s="338"/>
      </tp>
      <tp t="e">
        <v>#N/A</v>
        <stp/>
        <stp>BDH|11092295421045696072</stp>
        <tr r="AM52" s="338"/>
        <tr r="AM54" s="338"/>
        <tr r="AM53" s="338"/>
      </tp>
      <tp>
        <v>0.41837182641029358</v>
        <stp/>
        <stp>BDP|13606219202075101737|22</stp>
        <stp>INTC US 07/17/26 C60 Equity</stp>
        <stp>DELTA_MID_RT</stp>
        <tr r="AF24" s="2"/>
        <tr r="W195" s="89"/>
      </tp>
      <tp t="s">
        <v>#N/A Invalid Security</v>
        <stp/>
        <stp>BDP|17276935431976766163|22</stp>
        <stp xml:space="preserve"> Equity</stp>
        <stp>QUOTED_CURRENCY_REALTIME</stp>
        <tr r="F178" s="89"/>
        <tr r="F179" s="89"/>
      </tp>
      <tp>
        <v>-0.35856416821479797</v>
        <stp/>
        <stp>BDP|14936198501062674443|22</stp>
        <stp>DELL US 02/06/26 P115 Equity</stp>
        <stp>DELTA_MID_RT</stp>
        <tr r="W49" s="89"/>
      </tp>
      <tp>
        <v>41.8</v>
        <stp/>
        <stp>BDP|1435529279737285533|22</stp>
        <stp>META US 07/17/26 C750 Equity</stp>
        <stp>bid</stp>
        <tr r="P12" s="2"/>
        <tr r="P13" s="2"/>
        <tr r="K13" s="89"/>
      </tp>
      <tp>
        <v>42.3</v>
        <stp/>
        <stp>BDP|3455432218402996031|22</stp>
        <stp>META US 02/27/26 C660 Equity</stp>
        <stp>bid</stp>
        <tr r="K180" s="89"/>
      </tp>
      <tp>
        <v>7.45</v>
        <stp/>
        <stp>BDP|1560319554749533723|22</stp>
        <stp>AAPL US 04/17/26 C280 Equity</stp>
        <stp>mid</stp>
        <tr r="L21" s="2"/>
      </tp>
      <tp t="s">
        <v>#N/A Requesting Data...4161667014</v>
        <stp/>
        <stp>BDP|10508197528283416594</stp>
        <tr r="X48" s="338"/>
      </tp>
      <tp t="s">
        <v>#N/A N/A</v>
        <stp/>
        <stp>BDP|10976567873595722239</stp>
        <tr r="AV31" s="2"/>
        <tr r="R19" s="89"/>
        <tr r="AV32" s="2"/>
        <tr r="R20" s="89"/>
      </tp>
      <tp t="s">
        <v>#N/A Requesting Data...3805621783</v>
        <stp/>
        <stp>BDP|15688066863846340087</stp>
        <tr r="D28" s="446"/>
      </tp>
      <tp t="s">
        <v>#N/A Requesting Data...4236383369</v>
        <stp/>
        <stp>BDP|10174366559095309654</stp>
        <tr r="AA137" s="89"/>
        <tr r="Z137" s="89"/>
      </tp>
      <tp t="s">
        <v>#N/A Requesting Data...4106057503</v>
        <stp/>
        <stp>BDP|15767057305588506896</stp>
        <tr r="AH10" s="338"/>
        <tr r="AH11" s="338"/>
        <tr r="AH33" s="338"/>
      </tp>
      <tp t="s">
        <v>#N/A N/A</v>
        <stp/>
        <stp>BDP|12598914732268945550</stp>
        <tr r="E10" s="1"/>
      </tp>
      <tp t="s">
        <v>#N/A Requesting Data...4240294840</v>
        <stp/>
        <stp>BDP|10946231384896009942</stp>
        <tr r="N15" s="252"/>
        <tr r="N15" s="252"/>
      </tp>
      <tp t="s">
        <v>#N/A Requesting Data...3938711441</v>
        <stp/>
        <stp>BDP|10968744678995921066</stp>
        <tr r="C178" s="89"/>
        <tr r="C179" s="89"/>
      </tp>
      <tp t="s">
        <v>#N/A Requesting Data...3855328122</v>
        <stp/>
        <stp>BDP|11098096253680456149</stp>
        <tr r="P16" s="338"/>
        <tr r="P38" s="338"/>
      </tp>
      <tp t="s">
        <v>#N/A Requesting Data...4209984232</v>
        <stp/>
        <stp>BDP|12490577043850363694</stp>
        <tr r="C169" s="89"/>
      </tp>
      <tp t="s">
        <v>#N/A Requesting Data...3899633583</v>
        <stp/>
        <stp>BDP|10787623999933097918</stp>
        <tr r="L10" s="252"/>
        <tr r="L10" s="252"/>
      </tp>
      <tp t="s">
        <v>#N/A Requesting Data...3843399440</v>
        <stp/>
        <stp>BDP|10008779212771859209</stp>
        <tr r="E76" s="89"/>
        <tr r="F23" s="2"/>
      </tp>
      <tp t="s">
        <v>#N/A Requesting Data...3913574491</v>
        <stp/>
        <stp>BDP|15872646771885299421</stp>
        <tr r="F16" s="446"/>
      </tp>
      <tp t="s">
        <v>#N/A Requesting Data...3884726621</v>
        <stp/>
        <stp>BDP|17540140349122652537</stp>
        <tr r="T26" s="89"/>
      </tp>
      <tp t="s">
        <v>#N/A Requesting Data...3888911912</v>
        <stp/>
        <stp>BDP|17220718142881835059</stp>
        <tr r="F14" s="252"/>
      </tp>
      <tp t="s">
        <v>#N/A Requesting Data...4252866394</v>
        <stp/>
        <stp>BDP|17218542859831445344</stp>
        <tr r="C7" s="2"/>
      </tp>
      <tp t="s">
        <v>#N/A Requesting Data...4063942817</v>
        <stp/>
        <stp>BDP|10657184220757541146</stp>
        <tr r="C23" s="2"/>
      </tp>
      <tp t="s">
        <v>#N/A Requesting Data...3841924013</v>
        <stp/>
        <stp>BDP|14521485953094621461</stp>
        <tr r="O204" s="89"/>
        <tr r="T10" s="2"/>
      </tp>
      <tp t="s">
        <v>#N/A N/A</v>
        <stp/>
        <stp>BDP|15051140014688420859</stp>
        <tr r="AC12" s="1"/>
      </tp>
      <tp t="s">
        <v>#N/A Requesting Data...3939368364</v>
        <stp/>
        <stp>BDP|13738518813242630024</stp>
        <tr r="U55" s="338"/>
      </tp>
      <tp t="s">
        <v>#N/A Requesting Data...3980234389</v>
        <stp/>
        <stp>BDP|10649617194228048229</stp>
        <tr r="V195" s="89"/>
        <tr r="AD24" s="2"/>
      </tp>
      <tp t="s">
        <v>#N/A Requesting Data...4165857351</v>
        <stp/>
        <stp>BDP|16068368952433220674</stp>
        <tr r="D145" s="89"/>
      </tp>
      <tp t="s">
        <v>#N/A Requesting Data...4033552066</v>
        <stp/>
        <stp>BDP|13465529309701622291</stp>
        <tr r="D49" s="89"/>
      </tp>
      <tp t="s">
        <v>#N/A Requesting Data...4083668355</v>
        <stp/>
        <stp>BDP|17342615633087431051</stp>
        <tr r="AR21" s="2"/>
      </tp>
      <tp t="s">
        <v>#N/A Requesting Data...4277940504</v>
        <stp/>
        <stp>BDP|10830522917212474394</stp>
        <tr r="M6" s="252"/>
      </tp>
      <tp t="s">
        <v>#N/A N/A</v>
        <stp/>
        <stp>BDP|17289014403731542359</stp>
        <tr r="AB195" s="89"/>
        <tr r="AB196" s="89"/>
        <tr r="AB197" s="89"/>
        <tr r="AQ24" s="2"/>
        <tr r="AQ25" s="2"/>
        <tr r="AQ26" s="2"/>
        <tr r="AQ27" s="2"/>
      </tp>
      <tp t="s">
        <v>#N/A Requesting Data...4276066370</v>
        <stp/>
        <stp>BDP|13449047331402957787</stp>
        <tr r="F15" s="2"/>
      </tp>
      <tp t="s">
        <v>#N/A Requesting Data...4212384183</v>
        <stp/>
        <stp>BDP|14342024613619901985</stp>
        <tr r="F32" s="446"/>
      </tp>
      <tp t="s">
        <v>#N/A Requesting Data...4167133225</v>
        <stp/>
        <stp>BDP|17882539857607640595</stp>
        <tr r="AG54" s="338"/>
      </tp>
      <tp t="s">
        <v>#N/A Requesting Data...4142031395</v>
        <stp/>
        <stp>BDP|13450917922399223467</stp>
        <tr r="G34" s="446"/>
      </tp>
      <tp t="s">
        <v>#N/A N/A</v>
        <stp/>
        <stp>BDP|10603598986270914823</stp>
        <tr r="AC33" s="1"/>
        <tr r="AC34" s="1"/>
      </tp>
      <tp t="s">
        <v>#N/A N/A</v>
        <stp/>
        <stp>BDP|12142735374617755031</stp>
        <tr r="AG13" s="1"/>
      </tp>
      <tp t="s">
        <v>#N/A Requesting Data...3963596885</v>
        <stp/>
        <stp>BDP|10511277652532461062</stp>
        <tr r="AA90" s="89"/>
        <tr r="Z90" s="89"/>
      </tp>
      <tp t="s">
        <v>#N/A Requesting Data...4089655336</v>
        <stp/>
        <stp>BDP|12129279820182595515</stp>
        <tr r="E196" s="89"/>
      </tp>
      <tp t="s">
        <v>#N/A Requesting Data...4203161364</v>
        <stp/>
        <stp>BDP|14655831860859350630</stp>
        <tr r="L13" s="338"/>
        <tr r="J13" s="338"/>
      </tp>
      <tp t="s">
        <v>#N/A Requesting Data...3817381473</v>
        <stp/>
        <stp>BDP|15509568954070416077</stp>
        <tr r="O212" s="89"/>
      </tp>
      <tp t="s">
        <v>#N/A N/A</v>
        <stp/>
        <stp>BDP|18269255641489268206</stp>
        <tr r="AC40" s="1"/>
        <tr r="AC41" s="1"/>
      </tp>
      <tp t="s">
        <v>#N/A N/A</v>
        <stp/>
        <stp>BDP|10194178422811898787</stp>
        <tr r="AF15" s="1"/>
      </tp>
      <tp t="s">
        <v>#N/A N/A</v>
        <stp/>
        <stp>BDP|15660791077340487089</stp>
        <tr r="E1" s="1"/>
      </tp>
      <tp t="s">
        <v>#N/A Requesting Data...4042289370</v>
        <stp/>
        <stp>BDP|10749732335826116771</stp>
        <tr r="D224" s="89"/>
      </tp>
      <tp t="s">
        <v>#N/A Requesting Data...3926767811</v>
        <stp/>
        <stp>BDP|17271244710975447452</stp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Data...4009108882</v>
        <stp/>
        <stp>BDP|17114611528944869260</stp>
        <tr r="AI12" s="338"/>
        <tr r="AK12" s="338"/>
      </tp>
      <tp t="s">
        <v>#N/A N/A</v>
        <stp/>
        <stp>BDP|14505061934744038618</stp>
        <tr r="AB2" s="1"/>
      </tp>
      <tp t="s">
        <v>#N/A Requesting Data...4044646855</v>
        <stp/>
        <stp>BDP|13635936347568321371</stp>
        <tr r="AA235" s="89"/>
        <tr r="Z235" s="89"/>
      </tp>
      <tp t="s">
        <v>#N/A Requesting Data...4028274367</v>
        <stp/>
        <stp>BDP|11370170641465778442</stp>
        <tr r="O169" s="89"/>
      </tp>
      <tp t="s">
        <v>#N/A Requesting Data...4199166776</v>
        <stp/>
        <stp>BDP|12110012414744208201</stp>
        <tr r="D204" s="89"/>
      </tp>
      <tp t="e">
        <v>#N/A</v>
        <stp/>
        <stp>BDH|14131773964710507045</stp>
        <tr r="J9" s="252"/>
      </tp>
      <tp t="e">
        <v>#N/A</v>
        <stp/>
        <stp>BDH|13510764372341116768</stp>
        <tr r="AS49" s="338"/>
        <tr r="AS48" s="338"/>
      </tp>
      <tp t="e">
        <v>#N/A</v>
        <stp/>
        <stp>BDH|13448419558076325111</stp>
        <tr r="AP12" s="338"/>
      </tp>
      <tp t="e">
        <v>#N/A</v>
        <stp/>
        <stp>BDH|10825554036716072545</stp>
        <tr r="T8" s="252"/>
        <tr r="W8" s="252"/>
      </tp>
      <tp t="e">
        <v>#N/A</v>
        <stp/>
        <stp>BDH|12817058387938472701</stp>
        <tr r="W10" s="252"/>
        <tr r="T10" s="252"/>
      </tp>
    </main>
    <main first="bofaddin.rtdserver">
      <tp>
        <v>14791.34</v>
        <stp/>
        <stp>BDP|9776891762487809350|22</stp>
        <stp>XIN9I Index</stp>
        <stp>LAST_PRICE</stp>
        <tr r="H11" s="252"/>
        <tr r="H11" s="252"/>
      </tp>
      <tp t="s">
        <v>#N/A Real Time</v>
        <stp/>
        <stp>BDP|15884850902642085200|22</stp>
        <stp>RFSWZ4C3 2400 Index</stp>
        <stp>ask</stp>
        <tr r="L123" s="89"/>
      </tp>
      <tp>
        <v>262.77999999999997</v>
        <stp/>
        <stp>BDP|7062867511992634566|22</stp>
        <stp>IWM EQUITY</stp>
        <stp>LAST_PRICE</stp>
        <tr r="L8" s="1"/>
      </tp>
      <tp>
        <v>33.24</v>
        <stp/>
        <stp>BDP|16778716474861008512|22</stp>
        <stp>ASHR US Equity</stp>
        <stp>LAST_PRICE</stp>
        <tr r="Z4" s="2"/>
      </tp>
      <tp>
        <v>907000</v>
        <stp/>
        <stp>BDP|5584348829070198606|22</stp>
        <stp>000660 KP Equity</stp>
        <stp>LAST_PRICE</stp>
        <tr r="I35" s="1"/>
      </tp>
      <tp t="s">
        <v>#N/A Requesting Data...</v>
        <stp/>
        <stp>BDP|2868224508917368159|22</stp>
        <stp>0,474171344596445 Index</stp>
        <stp>mid</stp>
        <tr r="L1" s="2"/>
      </tp>
      <tp>
        <v>223.61</v>
        <stp/>
        <stp>BDP|14695328540844976221|22</stp>
        <stp>GSENEPOW Equity</stp>
        <stp>LAST PRICE</stp>
        <tr r="G41" s="338"/>
        <tr r="G42" s="338"/>
      </tp>
      <tp>
        <v>242.11</v>
        <stp/>
        <stp>BDP|8139972387614957050|22</stp>
        <stp>AMD EQUITY</stp>
        <stp>LAST_PRICE</stp>
        <tr r="C4" s="1"/>
      </tp>
      <tp t="s">
        <v>#N/A Real Time</v>
        <stp/>
        <stp>BDP|4480144096505489759|22</stp>
        <stp>MRYWZ4C4 2390 Index</stp>
        <stp>DELTA_MID_RT</stp>
        <tr r="W129" s="89"/>
      </tp>
      <tp>
        <v>-1.7811696976423264E-2</v>
        <stp/>
        <stp>BDP|16828695075002840217|22</stp>
        <stp>INTC US 07/17/26 P40 Equity</stp>
        <stp>theta_mid_rt</stp>
        <tr r="AN26" s="2"/>
        <tr r="AN27" s="2"/>
      </tp>
      <tp t="s">
        <v>#N/A Real Time</v>
        <stp/>
        <stp>BDP|8671606719947634072|22</stp>
        <stp>4EM5P    6025 Index</stp>
        <stp>DELTA_MID_RT</stp>
        <tr r="W137" s="89"/>
      </tp>
      <tp t="s">
        <v>#N/A Real Time</v>
        <stp/>
        <stp>BDP|8369518914882815880|22</stp>
        <stp>QQQ US 01/15/26 P623 Equity</stp>
        <stp>DELTA_MID_RT</stp>
        <tr r="W68" s="89"/>
      </tp>
      <tp t="s">
        <v>#N/A Real Time</v>
        <stp/>
        <stp>BDP|2387402778293168161|22</stp>
        <stp>4OZ24 Index</stp>
        <stp>LAST_PRICE</stp>
        <tr r="S108" s="89"/>
      </tp>
      <tp>
        <v>1.6936954110860825E-2</v>
        <stp/>
        <stp>BDP|2686469546627559019|22</stp>
        <stp>QQQ US 02/06/26 C640 Equity</stp>
        <stp>DELTA_MID_RT</stp>
        <tr r="W186" s="89"/>
      </tp>
      <tp t="s">
        <v>#N/A Real Time</v>
        <stp/>
        <stp>BDP|11820070012775282534|22</stp>
        <stp>RTYWU5C3 2500 Index</stp>
        <stp>ask</stp>
        <tr r="L145" s="89"/>
      </tp>
      <tp>
        <v>320.33</v>
        <stp/>
        <stp>BDP|17019897193923426340|22</stp>
        <stp>AVGO US Equity</stp>
        <stp>LAST_PRICE</stp>
        <tr r="Z5" s="2"/>
        <tr r="S222" s="89"/>
        <tr r="S224" s="89"/>
        <tr r="S225" s="89"/>
        <tr r="S223" s="89"/>
      </tp>
      <tp t="s">
        <v>USD</v>
        <stp/>
        <stp>BDP|8578071273177149995|22</stp>
        <stp>AVGO US 06/18/26 P270 Equity</stp>
        <stp>QUOTED_CURRENCY_REALTIME</stp>
        <tr r="F225" s="89"/>
      </tp>
      <tp t="s">
        <v>#N/A Invalid Security</v>
        <stp/>
        <stp>BDP|8395936700053853217|22</stp>
        <stp>CSCO US 07/17/26 C670 Equity</stp>
        <stp>QUOTED_CURRENCY_REALTIME</stp>
        <tr r="F26" s="89"/>
      </tp>
      <tp t="s">
        <v>#N/A Real Time</v>
        <stp/>
        <stp>BDP|16831399122066681226|22</stp>
        <stp>RTYWU5C3 2500 Index</stp>
        <stp>bid</stp>
        <tr r="K145" s="89"/>
      </tp>
      <tp>
        <v>397.68</v>
        <stp/>
        <stp>BDP|5033619958928963959|22</stp>
        <stp>SMH EQUITY</stp>
        <stp>LAST_PRICE</stp>
        <tr r="L3" s="1"/>
      </tp>
      <tp t="s">
        <v>#N/A Real Time</v>
        <stp/>
        <stp>BDP|17090111944919959082|22</stp>
        <stp>IMBWK5C4 5840 Index</stp>
        <stp>ask</stp>
        <tr r="L89" s="89"/>
      </tp>
      <tp>
        <v>-7.2528667747974396E-2</v>
        <stp/>
        <stp>BDP|17204206709522420966|22</stp>
        <stp>AAPL US 04/17/26 C280 Equity</stp>
        <stp>theta_mid_rt</stp>
        <tr r="AN21" s="2"/>
      </tp>
      <tp>
        <v>-7.3691852390766144E-2</v>
        <stp/>
        <stp>BDP|12394711501428764022|22</stp>
        <stp>AAPL US 04/17/26 C260 Equity</stp>
        <stp>theta_mid_rt</stp>
        <tr r="AN20" s="2"/>
      </tp>
      <tp t="s">
        <v>#N/A Real Time</v>
        <stp/>
        <stp>BDP|9893971634581157776|22</stp>
        <stp>RTYWU5C3 2425 Index</stp>
        <stp>DELTA_MID_RT</stp>
        <tr r="W144" s="89"/>
      </tp>
      <tp>
        <v>61.07</v>
        <stp/>
        <stp>BDP|13905180074012668386|22</stp>
        <stp>MCHI US Equity</stp>
        <stp>LAST_PRICE</stp>
        <tr r="H15" s="252"/>
        <tr r="H15" s="252"/>
      </tp>
      <tp t="s">
        <v>#N/A Real Time</v>
        <stp/>
        <stp>BDP|2501457664342157633|22</stp>
        <stp>4EM5C    6300 Index</stp>
        <stp>DELTA_MID_RT</stp>
        <tr r="W136" s="89"/>
      </tp>
      <tp t="s">
        <v>#N/A Requesting Data...4191183776</v>
        <stp/>
        <stp>BDP|3297967097008051</stp>
        <tr r="AA223" s="89"/>
        <tr r="Z223" s="89"/>
      </tp>
      <tp t="s">
        <v>USD</v>
        <stp/>
        <stp>BDP|13337288652504840790|22</stp>
        <stp>2OG6P 25000 INDEX</stp>
        <stp>QUOTED_CURRENCY_REALTIME</stp>
        <tr r="G30" s="2"/>
      </tp>
      <tp>
        <v>25418.5</v>
        <stp/>
        <stp>BDP|15621475834069929149|22</stp>
        <stp>NQA INDEX</stp>
        <stp>LAST_PRICE</stp>
        <tr r="I17" s="1"/>
        <tr r="I18" s="1"/>
      </tp>
      <tp>
        <v>328.93</v>
        <stp/>
        <stp>BDP|4205875099267338750|22</stp>
        <stp>V Equity</stp>
        <stp>LAST PRICE</stp>
        <tr r="G15" s="338"/>
        <tr r="G39" s="338"/>
        <tr r="I40" s="338"/>
      </tp>
      <tp>
        <v>335.75</v>
        <stp/>
        <stp>BDP|5454315708850008901|22</stp>
        <stp>TSM EQUITY</stp>
        <stp>LAST_PRICE</stp>
        <tr r="C3" s="1"/>
      </tp>
      <tp t="s">
        <v>USD</v>
        <stp/>
        <stp>BDP|4932980636865218571|22</stp>
        <stp>MSFT US 02/20/26 P420 Equity</stp>
        <stp>QUOTED_CURRENCY_REALTIME</stp>
        <tr r="F212" s="89"/>
      </tp>
      <tp>
        <v>-0.71416974067687988</v>
        <stp/>
        <stp>BDP|4097278365440757822|22</stp>
        <stp>QQQ US 02/06/26 P624 Equity</stp>
        <stp>DELTA_MID_RT</stp>
        <tr r="W188" s="89"/>
      </tp>
      <tp t="s">
        <v>USD</v>
        <stp/>
        <stp>BDP|8466093696555252240|22</stp>
        <stp>DELL US 02/06/26 P115 Equity</stp>
        <stp>QUOTED_CURRENCY_REALTIME</stp>
        <tr r="F49" s="89"/>
      </tp>
      <tp t="s">
        <v>USD</v>
        <stp/>
        <stp>BDP|2430132797707671505|22</stp>
        <stp>NVDA US 05/15/26 C200 Equity</stp>
        <stp>QUOTED_CURRENCY_REALTIME</stp>
        <tr r="G8" s="2"/>
      </tp>
      <tp>
        <v>12.65</v>
        <stp/>
        <stp>BDP|224084046732399728|22</stp>
        <stp>MSFT US 07/17/26 C470 Equity</stp>
        <stp>ask</stp>
        <tr r="L235" s="89"/>
      </tp>
      <tp t="s">
        <v>USD</v>
        <stp/>
        <stp>BDP|4302585845716339382|22</stp>
        <stp>MSFT US 07/17/26 C470 Equity</stp>
        <stp>QUOTED_CURRENCY_REALTIME</stp>
        <tr r="F235" s="89"/>
      </tp>
      <tp t="s">
        <v>USD</v>
        <stp/>
        <stp>BDP|5718330705965420367|22</stp>
        <stp>AVGO US 06/18/26 P300 Equity</stp>
        <stp>QUOTED_CURRENCY_REALTIME</stp>
        <tr r="F224" s="89"/>
      </tp>
      <tp t="s">
        <v>#N/A Real Time</v>
        <stp/>
        <stp>BDP|14859120200401440904|22</stp>
        <stp>RFSWZ4C3 2400 Index</stp>
        <stp>QUOTED_CURRENCY_REALTIME</stp>
        <tr r="F123" s="89"/>
      </tp>
      <tp t="s">
        <v>#N/A Real Time</v>
        <stp/>
        <stp>BDP|10817846643224879339|22</stp>
        <stp>IMBWK5C4 5880 Index</stp>
        <stp>ask</stp>
        <tr r="L90" s="89"/>
      </tp>
      <tp>
        <v>318.67</v>
        <stp/>
        <stp>BDP|14680776317739946594|22</stp>
        <stp>AMAT US Equity</stp>
        <stp>LAST_PRICE</stp>
        <tr r="S56" s="89"/>
        <tr r="S55" s="89"/>
      </tp>
      <tp t="s">
        <v>#N/A Real Time</v>
        <stp/>
        <stp>BDP|5618054662935339575|22</stp>
        <stp>4EM5P    5800 Index</stp>
        <stp>DELTA_MID_RT</stp>
        <tr r="W138" s="89"/>
      </tp>
      <tp t="s">
        <v>#N/A Real Time</v>
        <stp/>
        <stp>BDP|3644211716247599726|22</stp>
        <stp>RTYWU5C3 2500 Index</stp>
        <stp>DELTA_MID_RT</stp>
        <tr r="W145" s="89"/>
      </tp>
      <tp>
        <v>0.13</v>
        <stp/>
        <stp>BDP|675619676305340664|22</stp>
        <stp>NVDA US 02/13/26 C210 Equity</stp>
        <stp>ask</stp>
        <tr r="L40" s="89"/>
      </tp>
      <tp t="s">
        <v>USD</v>
        <stp/>
        <stp>BDP|9634295531406082081|22</stp>
        <stp>MSFT US 02/20/26 C445 Equity</stp>
        <stp>QUOTED_CURRENCY_REALTIME</stp>
        <tr r="F211" s="89"/>
      </tp>
      <tp t="s">
        <v>#N/A Real Time</v>
        <stp/>
        <stp>BDP|8789910064232569805|22</stp>
        <stp>AMAT US 01/23/26 P290 Equity</stp>
        <stp>QUOTED_CURRENCY_REALTIME</stp>
        <tr r="F55" s="89"/>
      </tp>
      <tp>
        <v>290.24</v>
        <stp/>
        <stp>BDP|4895281984520079725|22</stp>
        <stp>WDC EQUITY</stp>
        <stp>LAST_PRICE</stp>
        <tr r="H7" s="1"/>
      </tp>
      <tp>
        <v>-0.69221431016921997</v>
        <stp/>
        <stp>BDP|17444184218214348444|22</stp>
        <stp>LITE US 03/20/26 C420 Equity</stp>
        <stp>theta_mid_rt</stp>
        <tr r="AN9" s="2"/>
      </tp>
      <tp>
        <v>-7.3196597397327423E-2</v>
        <stp/>
        <stp>BDP|15158621682476696755|22</stp>
        <stp>MRVL US 03/20/26 P75 Equity</stp>
        <stp>theta_mid_rt</stp>
        <tr r="AN15" s="2"/>
      </tp>
      <tp>
        <v>0.28999999999999998</v>
        <stp/>
        <stp>BDP|13640198828985467188|22</stp>
        <stp>NVDA US 02/13/26 C202.5 Equity</stp>
        <stp>bid</stp>
        <tr r="K34" s="89"/>
      </tp>
      <tp>
        <v>31.2</v>
        <stp/>
        <stp>BDP|213268990698774113|22</stp>
        <stp>GOOG US 07/17/26 C350 Equity</stp>
        <stp>bid</stp>
        <tr r="K236" s="89"/>
      </tp>
      <tp>
        <v>-2.7996854856610298E-2</v>
        <stp/>
        <stp>BDP|11687415304317098980|22</stp>
        <stp>NFLX US 05/15/26 C90 Equity</stp>
        <stp>theta_mid_rt</stp>
        <tr r="AN10" s="2"/>
      </tp>
      <tp t="s">
        <v>#N/A Real Time</v>
        <stp/>
        <stp>BDP|14239316141835558447|22</stp>
        <stp>4EM5P    6025 Index</stp>
        <stp>QUOTED_CURRENCY_REALTIME</stp>
        <tr r="F137" s="89"/>
      </tp>
      <tp t="s">
        <v>USD</v>
        <stp/>
        <stp>BDP|7738847520517229982|22</stp>
        <stp>META US 07/17/26 C670 Equity</stp>
        <stp>QUOTED_CURRENCY_REALTIME</stp>
        <tr r="F170" s="89"/>
      </tp>
      <tp t="s">
        <v>USD</v>
        <stp/>
        <stp>BDP|5183346410322862647|22</stp>
        <stp>AAPL US 04/17/26 C260 Equity</stp>
        <stp>QUOTED_CURRENCY_REALTIME</stp>
        <tr r="G20" s="2"/>
        <tr r="F7" s="89"/>
      </tp>
      <tp t="s">
        <v>USD</v>
        <stp/>
        <stp>BDP|5793744081546209980|22</stp>
        <stp>META US 04/17/26 C690 Equity</stp>
        <stp>QUOTED_CURRENCY_REALTIME</stp>
        <tr r="F169" s="89"/>
      </tp>
      <tp t="s">
        <v>#N/A Real Time</v>
        <stp/>
        <stp>BDP|4903616747917947670|22</stp>
        <stp>SCH5C   6200 Index</stp>
        <stp>DELTA_MID_RT</stp>
        <tr r="W101" s="89"/>
      </tp>
      <tp t="s">
        <v>#N/A Invalid Security</v>
        <stp/>
        <stp>BDP|4149584775528543730|22</stp>
        <stp xml:space="preserve"> Equity</stp>
        <stp>ask</stp>
        <tr r="Q2" s="2"/>
        <tr r="L178" s="89"/>
        <tr r="L179" s="89"/>
      </tp>
      <tp>
        <v>419.44</v>
        <stp/>
        <stp>BDP|12429311880057526361|22</stp>
        <stp>MU EQUITY</stp>
        <stp>LAST_PRICE</stp>
        <tr r="H2" s="1"/>
      </tp>
      <tp>
        <v>232.5</v>
        <stp/>
        <stp>BDP|16105616569301420458|22</stp>
        <stp>2OG6P 25000 INDEX</stp>
        <stp>ask</stp>
        <tr r="Q30" s="2"/>
      </tp>
      <tp t="s">
        <v>#N/A Real Time</v>
        <stp/>
        <stp>BDP|7920363454183743223|22</stp>
        <stp>IMBWK5C4 5880 Index</stp>
        <stp>DELTA_MID_RT</stp>
        <tr r="W90" s="89"/>
      </tp>
      <tp>
        <v>17.600000000000001</v>
        <stp/>
        <stp>BDP|959515516383838906|22</stp>
        <stp>AVGO US 06/18/26 P270 Equity</stp>
        <stp>ask</stp>
        <tr r="L225" s="89"/>
      </tp>
      <tp>
        <v>410.5</v>
        <stp/>
        <stp>BDP|816505876123726002|22</stp>
        <stp>1OG6P 25750 Index</stp>
        <stp>bid</stp>
        <tr r="K153" s="89"/>
      </tp>
      <tp t="s">
        <v>USD</v>
        <stp/>
        <stp>BDP|9373829889527232263|22</stp>
        <stp>META US 07/17/26 C750 Equity</stp>
        <stp>QUOTED_CURRENCY_REALTIME</stp>
        <tr r="G12" s="2"/>
        <tr r="G13" s="2"/>
        <tr r="F13" s="89"/>
      </tp>
      <tp t="s">
        <v>#N/A Real Time</v>
        <stp/>
        <stp>BDP|3661936622125952358|22</stp>
        <stp>SCH5C   6300 Index</stp>
        <stp>DELTA_MID_RT</stp>
        <tr r="W102" s="89"/>
      </tp>
      <tp t="s">
        <v>#N/A Real Time</v>
        <stp/>
        <stp>BDP|14971432828971535518|22</stp>
        <stp>RTYWU5C3 2500 Index</stp>
        <stp>QUOTED_CURRENCY_REALTIME</stp>
        <tr r="F145" s="89"/>
      </tp>
      <tp>
        <v>-2.5156058371067047E-2</v>
        <stp/>
        <stp>BDP|18355121389053073684|22</stp>
        <stp>INTC US 07/17/26 C60 Equity</stp>
        <stp>theta_mid_rt</stp>
        <tr r="AN24" s="2"/>
      </tp>
      <tp>
        <v>49.25</v>
        <stp/>
        <stp>BDP|15280641543212915371|22</stp>
        <stp>INTC US Equity</stp>
        <stp>LAST_PRICE</stp>
        <tr r="Z24" s="2"/>
        <tr r="Z25" s="2"/>
        <tr r="Z26" s="2"/>
        <tr r="S195" s="89"/>
        <tr r="S196" s="89"/>
        <tr r="S197" s="89"/>
        <tr r="Z27" s="2"/>
      </tp>
      <tp>
        <v>14.55</v>
        <stp/>
        <stp>BDP|504148194751819713|22</stp>
        <stp>MSFT US 02/20/26 P420 Equity</stp>
        <stp>ask</stp>
        <tr r="L212" s="89"/>
      </tp>
      <tp>
        <v>421</v>
        <stp/>
        <stp>BDP|17996182457754937917|22</stp>
        <stp>1OG6P 25750 INDEX</stp>
        <stp>ask</stp>
        <tr r="Q28" s="2"/>
        <tr r="Q29" s="2"/>
      </tp>
      <tp t="s">
        <v>#N/A Real Time</v>
        <stp/>
        <stp>BDP|4377385755401510832|22</stp>
        <stp>RFSWZ4C3 2360 Index</stp>
        <stp>DELTA_MID_RT</stp>
        <tr r="W122" s="89"/>
      </tp>
      <tp t="s">
        <v>#N/A Real Time</v>
        <stp/>
        <stp>BDP|8704363037405218648|22</stp>
        <stp>3OF5C    22500 Index</stp>
        <stp>QUOTED_CURRENCY_REALTIME</stp>
        <tr r="F109" s="89"/>
      </tp>
      <tp>
        <v>-6.7155010998249054E-2</v>
        <stp/>
        <stp>BDP|16456111785153391042|22</stp>
        <stp>MRVL US 03/20/26 P70 Equity</stp>
        <stp>theta_mid_rt</stp>
        <tr r="AN17" s="2"/>
        <tr r="AN18" s="2"/>
      </tp>
      <tp t="s">
        <v>USD</v>
        <stp/>
        <stp>BDP|15790829845725470611|22</stp>
        <stp>QQQ US 02/06/26 C634 Equity</stp>
        <stp>QUOTED_CURRENCY_REALTIME</stp>
        <tr r="F187" s="89"/>
      </tp>
      <tp>
        <v>5864.1836000000003</v>
        <stp/>
        <stp>BDP|12063806539307343070|22</stp>
        <stp>H11137 Index</stp>
        <stp>LAST_PRICE</stp>
        <tr r="H13" s="252"/>
        <tr r="H13" s="252"/>
      </tp>
      <tp>
        <v>25417.25</v>
        <stp/>
        <stp>BDP|1895572787570799627|22</stp>
        <stp>2OH6 Equity</stp>
        <stp>LAST_PRICE</stp>
        <tr r="I16" s="1"/>
      </tp>
      <tp>
        <v>238.62</v>
        <stp/>
        <stp>BDP|11431942920512482031|22</stp>
        <stp>AMZN US Equity</stp>
        <stp>LAST_PRICE</stp>
        <tr r="S234" s="89"/>
      </tp>
      <tp>
        <v>-0.37370994687080383</v>
        <stp/>
        <stp>BDP|6374584974584304277|22</stp>
        <stp>SMH US 02/13/26 P390 Equity</stp>
        <stp>DELTA_MID_RT</stp>
        <tr r="W75" s="89"/>
      </tp>
      <tp>
        <v>616.52</v>
        <stp/>
        <stp>BDP|360499996244621952|22</stp>
        <stp>QQQ US Equity</stp>
        <stp>LAST_PRICE</stp>
        <tr r="Z22" s="2"/>
        <tr r="Z23" s="2"/>
        <tr r="S68" s="89"/>
        <tr r="S69" s="89"/>
        <tr r="S81" s="89"/>
        <tr r="S186" s="89"/>
        <tr r="S187" s="89"/>
        <tr r="S188" s="89"/>
        <tr r="S82" s="89"/>
        <tr r="S76" s="89"/>
        <tr r="Z6" s="2"/>
        <tr r="Z7" s="2"/>
      </tp>
      <tp t="s">
        <v>#N/A Real Time</v>
        <stp/>
        <stp>BDP|15463751634066228508|22</stp>
        <stp>MRYWZ4C4 2390 Index</stp>
        <stp>ask</stp>
        <tr r="L129" s="89"/>
      </tp>
      <tp>
        <v>691.7</v>
        <stp/>
        <stp>BDP|12884552599081678750|22</stp>
        <stp>META US Equity</stp>
        <stp>LAST_PRICE</stp>
        <tr r="Z12" s="2"/>
        <tr r="Z13" s="2"/>
        <tr r="S13" s="89"/>
        <tr r="S14" s="89"/>
        <tr r="S27" s="89"/>
        <tr r="S169" s="89"/>
        <tr r="S170" s="89"/>
        <tr r="S180" s="89"/>
        <tr r="S233" s="89"/>
        <tr r="S171" s="89"/>
      </tp>
      <tp t="s">
        <v>USD</v>
        <stp/>
        <stp>BDP|12645041822970638501|22</stp>
        <stp>QQQ US 02/03/26 P612 Equity</stp>
        <stp>QUOTED_CURRENCY_REALTIME</stp>
        <tr r="G7" s="2"/>
      </tp>
      <tp>
        <v>0.31</v>
        <stp/>
        <stp>BDP|12043615711539746151|22</stp>
        <stp>NVDA US 02/13/26 C202.5 Equity</stp>
        <stp>ask</stp>
        <tr r="L34" s="89"/>
      </tp>
      <tp t="s">
        <v>#N/A Real Time</v>
        <stp/>
        <stp>BDP|11252053857629401191|22</stp>
        <stp>MRYWZ4C4 2390 Index</stp>
        <stp>QUOTED_CURRENCY_REALTIME</stp>
        <tr r="F129" s="89"/>
      </tp>
      <tp>
        <v>-2.4148412048816681E-2</v>
        <stp/>
        <stp>BDP|17856461713270669920|22</stp>
        <stp>INTC US 07/17/26 C50 Equity</stp>
        <stp>theta_mid_rt</stp>
        <tr r="AN25" s="2"/>
      </tp>
      <tp>
        <v>-4.2798478156328201E-2</v>
        <stp/>
        <stp>BDP|10014400757682207201|22</stp>
        <stp>MRVL US 03/20/26 P60 Equity</stp>
        <stp>theta_mid_rt</stp>
        <tr r="AN19" s="2"/>
      </tp>
      <tp>
        <v>-6.81581050157547E-2</v>
        <stp/>
        <stp>BDP|12438727553717188638|22</stp>
        <stp>MRVL US 03/20/26 P85 Equity</stp>
        <stp>theta_mid_rt</stp>
        <tr r="AN14" s="2"/>
      </tp>
      <tp t="s">
        <v>#N/A Real Time</v>
        <stp/>
        <stp>BDP|658030899051855651|22</stp>
        <stp>RFSZ24 Index</stp>
        <stp>LAST_PRICE</stp>
        <tr r="S122" s="89"/>
        <tr r="S123" s="89"/>
      </tp>
      <tp t="s">
        <v>USD</v>
        <stp/>
        <stp>BDP|6391045500104896499|22</stp>
        <stp>LITE US 03/20/26 C420 Equity</stp>
        <stp>QUOTED_CURRENCY_REALTIME</stp>
        <tr r="G9" s="2"/>
      </tp>
      <tp>
        <v>85.39</v>
        <stp/>
        <stp>BDP|2213699979188169021|22</stp>
        <stp>IGV EQUITY</stp>
        <stp>LAST_PRICE</stp>
        <tr r="L2" s="1"/>
      </tp>
      <tp t="s">
        <v>#N/A Real Time</v>
        <stp/>
        <stp>BDP|6678830315195885932|22</stp>
        <stp>RFSWZ4C3 2400 Index</stp>
        <stp>DELTA_MID_RT</stp>
        <tr r="W123" s="89"/>
      </tp>
      <tp>
        <v>83.11</v>
        <stp/>
        <stp>BDP|224343272968290990|22</stp>
        <stp>CSCO Equity</stp>
        <stp>LAST_PRICE</stp>
        <tr r="I42" s="1"/>
        <tr r="I43" s="1"/>
      </tp>
      <tp t="s">
        <v>USD</v>
        <stp/>
        <stp>BDP|11467795818627236233|22</stp>
        <stp>QQQ US 02/06/26 C640 Equity</stp>
        <stp>QUOTED_CURRENCY_REALTIME</stp>
        <tr r="F186" s="89"/>
      </tp>
      <tp t="s">
        <v>USD</v>
        <stp/>
        <stp>BDP|8551146402332547609|22</stp>
        <stp>META US 07/17/26 C700 Equity</stp>
        <stp>QUOTED_CURRENCY_REALTIME</stp>
        <tr r="F14" s="89"/>
        <tr r="F27" s="89"/>
        <tr r="F171" s="89"/>
      </tp>
      <tp t="s">
        <v>#N/A Real Time</v>
        <stp/>
        <stp>BDP|2879552152728014398|22</stp>
        <stp>4OK5C 21300 Index</stp>
        <stp>QUOTED_CURRENCY_REALTIME</stp>
        <tr r="F115" s="89"/>
      </tp>
      <tp>
        <v>0.12</v>
        <stp/>
        <stp>BDP|13096424927641554551|22</stp>
        <stp>NVDA US 02/06/26 C197.5 Equity</stp>
        <stp>ask</stp>
        <tr r="L33" s="89"/>
      </tp>
      <tp t="s">
        <v>#N/A Invalid Security</v>
        <stp/>
        <stp>BDP|7846864529941089881|22</stp>
        <stp xml:space="preserve"> Equity</stp>
        <stp>mid</stp>
        <tr r="L2" s="2"/>
      </tp>
      <tp>
        <v>616.52</v>
        <stp/>
        <stp>BDP|2689810960265066336|22</stp>
        <stp>QQQ EQUITY</stp>
        <stp>LAST_PRICE</stp>
        <tr r="L6" s="1"/>
      </tp>
      <tp>
        <v>-7.7643193304538727E-2</v>
        <stp/>
        <stp>BDP|11554504603472673655|22</stp>
        <stp>NVDA US 05/15/26 C200 Equity</stp>
        <stp>theta_mid_rt</stp>
        <tr r="AN8" s="2"/>
      </tp>
      <tp t="s">
        <v>#N/A Requesting Data...4022349763</v>
        <stp/>
        <stp>BDP|4708007087188271889</stp>
        <tr r="E153" s="89"/>
      </tp>
      <tp t="s">
        <v>#N/A Requesting Data...4120938856</v>
        <stp/>
        <stp>BDP|3970119255888163378</stp>
        <tr r="L35" s="338"/>
        <tr r="L14" s="338"/>
        <tr r="H14" s="338"/>
        <tr r="H35" s="338"/>
      </tp>
      <tp t="s">
        <v>#N/A N/A</v>
        <stp/>
        <stp>BDP|1780817128230709721</stp>
        <tr r="AC51" s="1"/>
      </tp>
      <tp t="s">
        <v>#N/A Requesting Data...4150140906</v>
        <stp/>
        <stp>BDP|6079579929065496810</stp>
        <tr r="O17" s="252"/>
      </tp>
      <tp t="s">
        <v>#N/A Requesting Data...4277817435</v>
        <stp/>
        <stp>BDP|7892942422180160079</stp>
        <tr r="AF29" s="338"/>
        <tr r="AF30" s="338"/>
      </tp>
      <tp t="e">
        <v>#N/A</v>
        <stp/>
        <stp>BDH|5774863015370920057</stp>
        <tr r="AN13" s="338"/>
        <tr r="AN34" s="338"/>
      </tp>
      <tp t="s">
        <v>#N/A Requesting Data...4129472306</v>
        <stp/>
        <stp>BDP|6875767680954769102</stp>
        <tr r="AR5" s="2"/>
      </tp>
      <tp t="s">
        <v>#N/A N/A</v>
        <stp/>
        <stp>BDP|7500005297250850236</stp>
        <tr r="N1" s="1"/>
      </tp>
      <tp t="s">
        <v>#N/A Requesting Data...4051451427</v>
        <stp/>
        <stp>BDP|7828562231434179977</stp>
        <tr r="G30" s="446"/>
      </tp>
      <tp t="s">
        <v>#N/A Requesting Data...4153094529</v>
        <stp/>
        <stp>BDP|5719360958046661910</stp>
        <tr r="U16" s="338"/>
        <tr r="U38" s="338"/>
      </tp>
      <tp t="s">
        <v>#N/A Requesting Data...4171363626</v>
        <stp/>
        <stp>BDP|7242194062655091966</stp>
        <tr r="AA33" s="89"/>
        <tr r="Z33" s="89"/>
      </tp>
      <tp t="s">
        <v>#N/A N/A</v>
        <stp/>
        <stp>BDP|8367283627072476679</stp>
        <tr r="AC46" s="1"/>
        <tr r="AC47" s="1"/>
        <tr r="AC48" s="1"/>
      </tp>
      <tp t="s">
        <v>#N/A Requesting Data...4206216433</v>
        <stp/>
        <stp>BDP|6021078455249412694</stp>
        <tr r="AJ37" s="338"/>
      </tp>
      <tp t="s">
        <v>#N/A Requesting Data...4242306294</v>
        <stp/>
        <stp>BDP|1166102887343177783</stp>
        <tr r="C69" s="89"/>
      </tp>
      <tp t="s">
        <v>#N/A N/A</v>
        <stp/>
        <stp>BDP|4596394917382492801</stp>
        <tr r="AF10" s="1"/>
      </tp>
      <tp t="e">
        <v>#N/A</v>
        <stp/>
        <stp>BDH|3785370064222854836</stp>
        <tr r="AS9" s="338"/>
      </tp>
      <tp t="s">
        <v>#N/A Requesting Data...4072053412</v>
        <stp/>
        <stp>BDP|6970865122281986181</stp>
        <tr r="Q53" s="338"/>
      </tp>
      <tp t="s">
        <v>#N/A Requesting Data...4104103760</v>
        <stp/>
        <stp>BDP|6404917817581645389</stp>
        <tr r="O14" s="252"/>
      </tp>
      <tp t="s">
        <v>#N/A N/A</v>
        <stp/>
        <stp>BDP|8267476373493896423</stp>
        <tr r="N2" s="1"/>
      </tp>
      <tp t="s">
        <v>#N/A Requesting Data...4043826068</v>
        <stp/>
        <stp>BDP|7893846030156355629</stp>
        <tr r="AA153" s="89"/>
        <tr r="Z153" s="89"/>
      </tp>
      <tp t="s">
        <v>#N/A Requesting Data...4220928690</v>
        <stp/>
        <stp>BDP|4738998939235389797</stp>
        <tr r="F8" s="446"/>
      </tp>
      <tp t="e">
        <v>#N/A</v>
        <stp/>
        <stp>BDH|9088516341683585780</stp>
        <tr r="AM15" s="338"/>
        <tr r="AR40" s="338"/>
        <tr r="AM39" s="338"/>
      </tp>
      <tp t="s">
        <v>#N/A N/A</v>
        <stp/>
        <stp>BDP|5580113800851198970</stp>
        <tr r="J3" s="1"/>
      </tp>
      <tp t="s">
        <v>#N/A N/A</v>
        <stp/>
        <stp>BDP|5357847351561143559</stp>
        <tr r="AG28" s="1"/>
      </tp>
      <tp t="s">
        <v>#N/A N/A</v>
        <stp/>
        <stp>BDP|2282995976142786289</stp>
        <tr r="AV5" s="2"/>
        <tr r="R222" s="89"/>
        <tr r="R224" s="89"/>
        <tr r="R225" s="89"/>
        <tr r="R223" s="89"/>
      </tp>
      <tp t="s">
        <v>#N/A Requesting Data...4116470185</v>
        <stp/>
        <stp>BDP|8370148836023021531</stp>
        <tr r="AF54" s="1"/>
        <tr r="AF55" s="1"/>
        <tr r="AF37" s="338"/>
      </tp>
      <tp t="s">
        <v>#N/A N/A</v>
        <stp/>
        <stp>BDP|9210249460935791437</stp>
        <tr r="AF37" s="1"/>
      </tp>
      <tp t="s">
        <v>#N/A Requesting Data...4233795259</v>
        <stp/>
        <stp>BDP|1367410484473609226</stp>
        <tr r="AK32" s="338"/>
        <tr r="AK46" s="338"/>
        <tr r="AK50" s="338"/>
        <tr r="AK8" s="338"/>
        <tr r="AI32" s="338"/>
        <tr r="AI46" s="338"/>
        <tr r="AI50" s="338"/>
        <tr r="AI8" s="338"/>
      </tp>
      <tp t="s">
        <v>#N/A Requesting Data...4074822228</v>
        <stp/>
        <stp>BDP|5270872678817673187</stp>
        <tr r="O13" s="252"/>
      </tp>
      <tp t="s">
        <v>#N/A N/A</v>
        <stp/>
        <stp>BDP|2737330982055463026</stp>
        <tr r="AG54" s="1"/>
        <tr r="AG55" s="1"/>
      </tp>
      <tp t="e">
        <v>#N/A</v>
        <stp/>
        <stp>BDH|6503331597535470559</stp>
        <tr r="AM12" s="338"/>
      </tp>
      <tp t="s">
        <v>#N/A Requesting Data...4212143588</v>
        <stp/>
        <stp>BDP|3098041072779459130</stp>
        <tr r="E169" s="89"/>
      </tp>
      <tp t="s">
        <v>#N/A Requesting Data...4187977833</v>
        <stp/>
        <stp>BDP|3430438294345068720</stp>
        <tr r="O40" s="89"/>
      </tp>
      <tp t="s">
        <v>#N/A Requesting Data...4224092812</v>
        <stp/>
        <stp>BDP|6202726206315217853</stp>
        <tr r="AH41" s="338"/>
        <tr r="AH42" s="338"/>
      </tp>
      <tp t="s">
        <v>#N/A Requesting Data...4208867116</v>
        <stp/>
        <stp>BDP|4670123577217166936</stp>
        <tr r="C13" s="89"/>
        <tr r="D12" s="2"/>
        <tr r="D13" s="2"/>
      </tp>
      <tp t="e">
        <v>#N/A</v>
        <stp/>
        <stp>BDH|9004776845775608355</stp>
        <tr r="J13" s="252"/>
      </tp>
      <tp t="s">
        <v>#N/A Requesting Data...4118051849</v>
        <stp/>
        <stp>BDP|5489377534060375922</stp>
        <tr r="T145" s="89"/>
      </tp>
      <tp t="s">
        <v>#N/A Requesting Data...4213611690</v>
        <stp/>
        <stp>BDP|3262255082576563363</stp>
        <tr r="V204" s="89"/>
        <tr r="AD10" s="2"/>
      </tp>
      <tp t="s">
        <v>#N/A Requesting Data...4077615964</v>
        <stp/>
        <stp>BDP|7547135630721272822</stp>
        <tr r="T29" s="338"/>
      </tp>
      <tp t="s">
        <v>#N/A Requesting Data...4277789202</v>
        <stp/>
        <stp>BDP|9515949913399601436</stp>
        <tr r="G25" s="446"/>
      </tp>
      <tp t="s">
        <v>#N/A Requesting Data...4044514096</v>
        <stp/>
        <stp>BDP|2250196021425433893</stp>
        <tr r="AA237" s="89"/>
        <tr r="Z237" s="89"/>
      </tp>
      <tp t="s">
        <v>#N/A Requesting Data...4213219472</v>
        <stp/>
        <stp>BDP|9712190854671951078</stp>
        <tr r="M16" s="252"/>
      </tp>
      <tp t="s">
        <v>#N/A Requesting Data...4045343251</v>
        <stp/>
        <stp>BDP|5805209688912204161</stp>
        <tr r="T33" s="89"/>
      </tp>
      <tp t="s">
        <v>#N/A Requesting Data...4147585925</v>
        <stp/>
        <stp>BDP|5511275398847971578</stp>
        <tr r="T45" s="338"/>
      </tp>
      <tp t="s">
        <v>#N/A Requesting Data...4144272765</v>
        <stp/>
        <stp>BDP|8438357318146538099</stp>
        <tr r="T205" s="89"/>
        <tr r="AA11" s="2"/>
      </tp>
      <tp>
        <v>88.35</v>
        <stp/>
        <stp>BDP|7394371982457470369|22</stp>
        <stp>KBWB Equity</stp>
        <stp>LAST PRICE</stp>
        <tr r="G52" s="338"/>
        <tr r="G53" s="338"/>
        <tr r="G54" s="338"/>
      </tp>
      <tp>
        <v>0.33406877517700195</v>
        <stp/>
        <stp>BDP|1548409391739816515|22</stp>
        <stp>NFLX US 05/15/26 C90 Equity</stp>
        <stp>DELTA_MID_RT</stp>
        <tr r="W204" s="89"/>
        <tr r="AF10" s="2"/>
      </tp>
      <tp t="s">
        <v>#N/A Requesting Data...4078254708</v>
        <stp/>
        <stp>BDP|9641015641826985650</stp>
        <tr r="U52" s="338"/>
      </tp>
      <tp t="s">
        <v>#N/A Requesting Data...4191498623</v>
        <stp/>
        <stp>BDP|6731818678664058062</stp>
        <tr r="C116" s="89"/>
      </tp>
      <tp t="s">
        <v>#N/A Requesting Data...4152861531</v>
        <stp/>
        <stp>BDP|3337761684491833019</stp>
        <tr r="F44" s="446"/>
      </tp>
      <tp t="s">
        <v>#N/A Requesting Data...4233414039</v>
        <stp/>
        <stp>BDP|4245700180187394193</stp>
        <tr r="E144" s="89"/>
      </tp>
      <tp t="s">
        <v>#N/A Requesting Data...4107046889</v>
        <stp/>
        <stp>BDP|2599954552966387584</stp>
        <tr r="V15" s="338"/>
        <tr r="V39" s="338"/>
      </tp>
      <tp t="s">
        <v>#N/A Requesting Data...4224799315</v>
        <stp/>
        <stp>BDP|6927294984968537987</stp>
        <tr r="C224" s="89"/>
      </tp>
      <tp t="s">
        <v>#N/A N/A</v>
        <stp/>
        <stp>BDP|9699474378527567053</stp>
        <tr r="AC38" s="1"/>
        <tr r="AC39" s="1"/>
      </tp>
      <tp t="s">
        <v>#N/A Requesting Data...4202458494</v>
        <stp/>
        <stp>BDP|8701535920860416292</stp>
        <tr r="V75" s="89"/>
      </tp>
      <tp t="s">
        <v>#N/A Requesting Data...4187426886</v>
        <stp/>
        <stp>BDP|4582985133237593425</stp>
        <tr r="Q49" s="338"/>
      </tp>
      <tp t="s">
        <v>#N/A Requesting Data...4069187690</v>
        <stp/>
        <stp>BDP|4059296425981795825</stp>
        <tr r="T89" s="89"/>
      </tp>
      <tp t="s">
        <v>#N/A Requesting Data...4103881797</v>
        <stp/>
        <stp>BDP|9892288238755525038</stp>
        <tr r="E30" s="2"/>
      </tp>
      <tp t="s">
        <v>#N/A Requesting Data...4201466942</v>
        <stp/>
        <stp>BDP|2316277569649315203</stp>
        <tr r="AA40" s="89"/>
        <tr r="Z40" s="89"/>
      </tp>
      <tp t="s">
        <v>#N/A Requesting Data...4255712852</v>
        <stp/>
        <stp>BDP|8113789535866062735</stp>
        <tr r="T237" s="89"/>
      </tp>
      <tp t="s">
        <v>#N/A Requesting Data...4241970866</v>
        <stp/>
        <stp>BDP|6822986114586808509</stp>
        <tr r="AA15" s="2"/>
      </tp>
      <tp t="s">
        <v>#N/A Requesting Data...4278174786</v>
        <stp/>
        <stp>BDP|9592498748502103695</stp>
        <tr r="L7" s="252"/>
        <tr r="L7" s="252"/>
      </tp>
      <tp t="s">
        <v>#N/A Requesting Data...4264395195</v>
        <stp/>
        <stp>BDP|6754010884411976277</stp>
        <tr r="X44" s="338"/>
      </tp>
      <tp t="e">
        <v>#N/A</v>
        <stp/>
        <stp>BDH|8867683094112116893</stp>
        <tr r="AR31" s="338"/>
        <tr r="AM46" s="338"/>
        <tr r="AM45" s="338"/>
        <tr r="AR47" s="338"/>
        <tr r="AR51" s="338"/>
        <tr r="AR33" s="338"/>
        <tr r="AM49" s="338"/>
        <tr r="AR41" s="338"/>
      </tp>
      <tp t="s">
        <v>#N/A Requesting Data...4276634564</v>
        <stp/>
        <stp>BDP|4958570254160242959</stp>
        <tr r="T33" s="338"/>
      </tp>
      <tp t="s">
        <v>#N/A Requesting Data...4162421446</v>
        <stp/>
        <stp>BDP|4678905769292619449</stp>
        <tr r="AK29" s="338"/>
      </tp>
      <tp t="s">
        <v>#N/A Requesting Data...4244298789</v>
        <stp/>
        <stp>BDP|8546570959465252042</stp>
        <tr r="D14" s="89"/>
        <tr r="D27" s="89"/>
      </tp>
      <tp t="s">
        <v>#N/A Requesting Data...4236028073</v>
        <stp/>
        <stp>BDP|7223883239641187000</stp>
        <tr r="G16" s="446"/>
      </tp>
      <tp t="s">
        <v>#N/A Requesting Data...4273889423</v>
        <stp/>
        <stp>BDP|5114854945934215018</stp>
        <tr r="V169" s="89"/>
      </tp>
      <tp t="s">
        <v>#N/A Requesting Data...4135763070</v>
        <stp/>
        <stp>BDP|1598659997744367766</stp>
        <tr r="E188" s="89"/>
      </tp>
      <tp t="e">
        <v>#N/A</v>
        <stp/>
        <stp>BDH|6510200972726120845</stp>
        <tr r="T14" s="252"/>
        <tr r="W14" s="252"/>
      </tp>
      <tp t="s">
        <v>#N/A Requesting Data...4120732855</v>
        <stp/>
        <stp>BDP|4501705585220195623</stp>
        <tr r="D50" s="89"/>
      </tp>
      <tp t="s">
        <v>#N/A Requesting Data...4078797536</v>
        <stp/>
        <stp>BDP|8023230975554206472</stp>
        <tr r="U33" s="338"/>
      </tp>
      <tp t="s">
        <v>#N/A Requesting Data...4170863921</v>
        <stp/>
        <stp>BDP|2832828567039648888</stp>
        <tr r="D4" s="2"/>
      </tp>
      <tp t="s">
        <v>#N/A Requesting Data...4212421804</v>
        <stp/>
        <stp>BDP|1449141764908407306</stp>
        <tr r="F11" s="446"/>
      </tp>
      <tp t="s">
        <v>#N/A Requesting Data...4104295096</v>
        <stp/>
        <stp>BDP|6113923539666992720</stp>
        <tr r="N14" s="252"/>
        <tr r="N14" s="252"/>
      </tp>
      <tp t="s">
        <v>#N/A N/A</v>
        <stp/>
        <stp>BDP|8840098927283470439</stp>
        <tr r="AB153" s="89"/>
      </tp>
      <tp t="s">
        <v>#N/A Requesting Data...4166989143</v>
        <stp/>
        <stp>BDP|7951947862590616582</stp>
        <tr r="AF49" s="1"/>
        <tr r="AF50" s="1"/>
        <tr r="AF13" s="338"/>
        <tr r="AF34" s="338"/>
      </tp>
      <tp t="s">
        <v>#N/A Requesting Data...4227537670</v>
        <stp/>
        <stp>BDP|9891481019803044282</stp>
        <tr r="G23" s="446"/>
      </tp>
      <tp t="s">
        <v>#N/A Requesting Data...4130329058</v>
        <stp/>
        <stp>BDP|8890689995642342808</stp>
        <tr r="V53" s="338"/>
      </tp>
      <tp t="s">
        <v>#N/A Requesting Data...4132586570</v>
        <stp/>
        <stp>BDP|4140538680732569611</stp>
        <tr r="V170" s="89"/>
      </tp>
      <tp t="s">
        <v>#N/A Requesting Data...4249557077</v>
        <stp/>
        <stp>BDP|2455215735317653905</stp>
        <tr r="E223" s="89"/>
      </tp>
      <tp t="s">
        <v>#N/A Requesting Data...4211048495</v>
        <stp/>
        <stp>BDP|7612533417436704812</stp>
        <tr r="AJ13" s="338"/>
        <tr r="AJ34" s="338"/>
      </tp>
      <tp t="s">
        <v>#N/A Requesting Data...4168729677</v>
        <stp/>
        <stp>BDP|9574059420494792234</stp>
        <tr r="L41" s="338"/>
        <tr r="L31" s="338"/>
        <tr r="J31" s="338"/>
        <tr r="L33" s="338"/>
        <tr r="J33" s="338"/>
        <tr r="J41" s="338"/>
        <tr r="L45" s="338"/>
        <tr r="H45" s="338"/>
        <tr r="L46" s="338"/>
        <tr r="H46" s="338"/>
        <tr r="L47" s="338"/>
        <tr r="J47" s="338"/>
        <tr r="L49" s="338"/>
        <tr r="H49" s="338"/>
        <tr r="L51" s="338"/>
        <tr r="J51" s="338"/>
      </tp>
      <tp t="s">
        <v>#N/A Requesting Data...4097078857</v>
        <stp/>
        <stp>BDP|3007975292676340821</stp>
        <tr r="G24" s="446"/>
      </tp>
      <tp t="e">
        <v>#N/A</v>
        <stp/>
        <stp>BDH|7750173065954615978</stp>
        <tr r="AP44" s="338"/>
        <tr r="AU53" s="338"/>
        <tr r="AU10" s="338"/>
        <tr r="AP47" s="338"/>
        <tr r="AP48" s="338"/>
      </tp>
      <tp t="e">
        <v>#N/A</v>
        <stp/>
        <stp>BDH|9728067115634165113</stp>
        <tr r="AS29" s="338"/>
      </tp>
      <tp t="s">
        <v>#N/A Requesting Data...4199923713</v>
        <stp/>
        <stp>BDP|5665815221263095138</stp>
        <tr r="E95" s="89"/>
      </tp>
      <tp t="s">
        <v>#N/A Requesting Data...4262624339</v>
        <stp/>
        <stp>BDP|8914680487893491873</stp>
        <tr r="C76" s="89"/>
        <tr r="D23" s="2"/>
      </tp>
      <tp t="e">
        <v>#N/A</v>
        <stp/>
        <stp>BDH|9253102717516211221</stp>
        <tr r="AU40" s="338"/>
        <tr r="AP15" s="338"/>
        <tr r="AP39" s="338"/>
      </tp>
      <tp t="e">
        <v>#N/A</v>
        <stp/>
        <stp>BDH|2114060395467773106</stp>
        <tr r="J16" s="252"/>
      </tp>
      <tp t="e">
        <v>#N/A</v>
        <stp/>
        <stp>BDH|7973377427432893942</stp>
        <tr r="AU12" s="338"/>
      </tp>
      <tp>
        <v>17</v>
        <stp/>
        <stp>BDP|18096733178424916458|22</stp>
        <stp>AVGO US 06/18/26 P270 Equity</stp>
        <stp>bid</stp>
        <tr r="K225" s="89"/>
      </tp>
      <tp>
        <v>33.6</v>
        <stp/>
        <stp>BDP|10089550128122679017|22</stp>
        <stp>TSM US 06/18/26 C340 Equity</stp>
        <stp>ask</stp>
        <tr r="Q31" s="2"/>
      </tp>
      <tp>
        <v>0.28999999999999998</v>
        <stp/>
        <stp>BDP|15647805313047322533|22</stp>
        <stp>QQQ US 02/06/26 C634 Equity</stp>
        <stp>ask</stp>
        <tr r="L187" s="89"/>
      </tp>
      <tp>
        <v>-0.32131803035736084</v>
        <stp/>
        <stp>BDP|3431413272118379814|22</stp>
        <stp>MRVL US 03/20/26 P70 Equity</stp>
        <stp>DELTA_MID_RT</stp>
        <tr r="W63" s="89"/>
        <tr r="AF18" s="2"/>
      </tp>
      <tp t="s">
        <v>#N/A Requesting Data...4118269305</v>
        <stp/>
        <stp>BDP|5266989866390412427</stp>
        <tr r="D38" s="446"/>
      </tp>
      <tp t="s">
        <v>#N/A N/A</v>
        <stp/>
        <stp>BDP|8927228557595141478</stp>
        <tr r="R115" s="89"/>
        <tr r="R116" s="89"/>
      </tp>
      <tp t="e">
        <v>#N/A</v>
        <stp/>
        <stp>BDH|7828358343726707835</stp>
        <tr r="AR42" s="338"/>
      </tp>
      <tp t="s">
        <v>#N/A Requesting Data...4130972031</v>
        <stp/>
        <stp>BDP|1529618684855229495</stp>
        <tr r="E197" s="89"/>
      </tp>
      <tp t="s">
        <v>#N/A N/A</v>
        <stp/>
        <stp>BDP|8452001835880289581</stp>
        <tr r="AB42" s="1"/>
        <tr r="AB43" s="1"/>
      </tp>
      <tp t="s">
        <v>#N/A Requesting Data...4149149295</v>
        <stp/>
        <stp>BDP|8518419899713251871</stp>
        <tr r="X8" s="338"/>
      </tp>
      <tp t="s">
        <v>#N/A Requesting Data...4118167102</v>
        <stp/>
        <stp>BDP|6375542897924166091</stp>
        <tr r="C109" s="89"/>
      </tp>
      <tp t="s">
        <v>#N/A Requesting Data...4266648175</v>
        <stp/>
        <stp>BDP|6865956502756622717</stp>
        <tr r="AH36" s="338"/>
        <tr r="AJ36" s="338"/>
      </tp>
      <tp t="s">
        <v>#N/A Requesting Data...4275455543</v>
        <stp/>
        <stp>BDP|2379295593121097618</stp>
        <tr r="D44" s="446"/>
      </tp>
      <tp t="s">
        <v>#N/A Requesting Data...4236648694</v>
        <stp/>
        <stp>BDP|9349867885552045593</stp>
        <tr r="S48" s="338"/>
      </tp>
      <tp t="s">
        <v>#N/A Requesting Data...4203341639</v>
        <stp/>
        <stp>BDP|8800614714481507068</stp>
        <tr r="V197" s="89"/>
        <tr r="AD26" s="2"/>
        <tr r="AD27" s="2"/>
      </tp>
      <tp t="s">
        <v>#N/A Requesting Data...4228492267</v>
        <stp/>
        <stp>BDP|3116185742219750133</stp>
        <tr r="T109" s="89"/>
      </tp>
      <tp t="s">
        <v>#N/A Requesting Data...4179329099</v>
        <stp/>
        <stp>BDP|6738803180248897008</stp>
        <tr r="E33" s="89"/>
      </tp>
      <tp t="s">
        <v>#N/A Requesting Data...4159966853</v>
        <stp/>
        <stp>BDP|7378997264420593678</stp>
        <tr r="Q10" s="338"/>
      </tp>
      <tp t="s">
        <v>#N/A N/A</v>
        <stp/>
        <stp>BDP|8927803377951233812</stp>
        <tr r="AB160" s="89"/>
      </tp>
      <tp t="s">
        <v>#N/A Requesting Data...4172567211</v>
        <stp/>
        <stp>BDP|9104922632105284817</stp>
        <tr r="D20" s="89"/>
      </tp>
      <tp t="s">
        <v>#N/A Requesting Data...4150053465</v>
        <stp/>
        <stp>BDP|8747757053506458272</stp>
        <tr r="F30" s="2"/>
      </tp>
      <tp t="s">
        <v>#N/A Requesting Data...4141162725</v>
        <stp/>
        <stp>BDP|5796504129065876948</stp>
        <tr r="U8" s="338"/>
      </tp>
      <tp t="s">
        <v>#N/A Requesting Data...4293594306</v>
        <stp/>
        <stp>BDP|5334711267318453225</stp>
        <tr r="N10" s="252"/>
        <tr r="N10" s="252"/>
      </tp>
      <tp t="e">
        <v>#N/A</v>
        <stp/>
        <stp>BDH|6494506790290430430</stp>
        <tr r="AM37" s="338"/>
      </tp>
      <tp t="s">
        <v>#N/A Requesting Data...4212384722</v>
        <stp/>
        <stp>BDP|3634566470506988994</stp>
        <tr r="E11" s="2"/>
      </tp>
      <tp t="s">
        <v>#N/A Requesting Data...4268057109</v>
        <stp/>
        <stp>BDP|9233199299816659948</stp>
        <tr r="P11" s="252"/>
      </tp>
      <tp t="s">
        <v>#N/A Requesting Data...4124923138</v>
        <stp/>
        <stp>BDP|4901802951515105295</stp>
        <tr r="D81" s="89"/>
      </tp>
      <tp t="s">
        <v>#N/A Requesting Data...4123594916</v>
        <stp/>
        <stp>BDP|2292616657717420814</stp>
        <tr r="AF31" s="338"/>
        <tr r="AF32" s="338"/>
      </tp>
      <tp t="s">
        <v>#N/A N/A</v>
        <stp/>
        <stp>BDP|1704402293557704529</stp>
        <tr r="N7" s="1"/>
      </tp>
      <tp t="s">
        <v>#N/A Requesting Data...4242163707</v>
        <stp/>
        <stp>BDP|5633972639775863413</stp>
        <tr r="AA82" s="89"/>
        <tr r="Z82" s="89"/>
      </tp>
      <tp t="s">
        <v>#N/A Requesting Data...4221733823</v>
        <stp/>
        <stp>BDP|4042472092244568314</stp>
        <tr r="V108" s="89"/>
      </tp>
      <tp t="s">
        <v>#N/A Requesting Data...4194049301</v>
        <stp/>
        <stp>BDP|5623416671028593055</stp>
        <tr r="AH45" s="338"/>
        <tr r="AH46" s="338"/>
        <tr r="AH49" s="338"/>
        <tr r="AI31" s="338"/>
        <tr r="AI33" s="338"/>
        <tr r="AI41" s="338"/>
        <tr r="AI47" s="338"/>
        <tr r="AI51" s="338"/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Data...4149023944</v>
        <stp/>
        <stp>BDP|5068380246295060987</stp>
        <tr r="P49" s="338"/>
      </tp>
      <tp t="e">
        <v>#N/A</v>
        <stp/>
        <stp>BDH|5674194540649995708</stp>
        <tr r="T17" s="252"/>
        <tr r="W17" s="252"/>
      </tp>
      <tp t="s">
        <v>#N/A Requesting Data...4170882983</v>
        <stp/>
        <stp>BDP|6562923680930375939</stp>
        <tr r="T11" s="338"/>
      </tp>
      <tp t="s">
        <v>#N/A Requesting Data...4260988820</v>
        <stp/>
        <stp>BDP|4719256686637012732</stp>
        <tr r="M19" s="252"/>
      </tp>
      <tp t="s">
        <v>#N/A Requesting Data...4163944400</v>
        <stp/>
        <stp>BDP|2644203280360986688</stp>
        <tr r="AB49" s="1"/>
        <tr r="AB50" s="1"/>
        <tr r="F35" s="446"/>
      </tp>
      <tp t="s">
        <v>#N/A Requesting Data...4158002785</v>
        <stp/>
        <stp>BDP|8807640965085857362</stp>
        <tr r="D30" s="2"/>
      </tp>
      <tp t="e">
        <v>#N/A</v>
        <stp/>
        <stp>BDH|5077646422209498651</stp>
        <tr r="AP35" s="338"/>
        <tr r="AP14" s="338"/>
      </tp>
      <tp t="s">
        <v>#N/A Requesting Data...4210512444</v>
        <stp/>
        <stp>BDP|3687895063137929413</stp>
        <tr r="U51" s="338"/>
      </tp>
      <tp t="s">
        <v>#N/A Requesting Data...4257368590</v>
        <stp/>
        <stp>BDP|6809253334738551199</stp>
        <tr r="C34" s="89"/>
      </tp>
      <tp t="s">
        <v>#N/A Requesting Data...4281498561</v>
        <stp/>
        <stp>BDP|8832260242793878318</stp>
        <tr r="T50" s="89"/>
      </tp>
      <tp t="s">
        <v>#N/A Requesting Data...4250873410</v>
        <stp/>
        <stp>BDP|2866283045919885388</stp>
        <tr r="L18" s="338"/>
        <tr r="J18" s="338"/>
      </tp>
      <tp t="s">
        <v>#N/A Requesting Data...4149181282</v>
        <stp/>
        <stp>BDP|8687464372741494432</stp>
        <tr r="D8" s="89"/>
      </tp>
      <tp t="s">
        <v>#N/A Requesting Data...4144165044</v>
        <stp/>
        <stp>BDP|5146836220051407031</stp>
        <tr r="Q52" s="338"/>
      </tp>
      <tp t="s">
        <v>#N/A Requesting Data...4245323330</v>
        <stp/>
        <stp>BDP|2388970931074445248</stp>
        <tr r="Q30" s="338"/>
      </tp>
      <tp t="s">
        <v>#N/A Requesting Data...4261572357</v>
        <stp/>
        <stp>BDP|8565804017506463936</stp>
        <tr r="L17" s="252"/>
        <tr r="L17" s="252"/>
      </tp>
      <tp>
        <v>19.600000000000001</v>
        <stp/>
        <stp>BDP|13753378013260123339|22</stp>
        <stp>AMZN US 07/17/26 C250 Equity</stp>
        <stp>bid</stp>
        <tr r="K234" s="89"/>
      </tp>
      <tp>
        <v>19.350000000000001</v>
        <stp/>
        <stp>BDP|1056906607050736285|22</stp>
        <stp>CPNG Equity</stp>
        <stp>LAST PRICE</stp>
        <tr r="L7" s="446"/>
      </tp>
      <tp>
        <v>38.82</v>
        <stp/>
        <stp>BDP|8479129259841183337|22</stp>
        <stp>BP Equity</stp>
        <stp>LAST PRICE</stp>
        <tr r="G29" s="338"/>
        <tr r="G30" s="338"/>
      </tp>
      <tp t="e">
        <v>#N/A</v>
        <stp/>
        <stp>BDH|20318545961897556</stp>
        <tr r="AU41" s="338"/>
        <tr r="AP45" s="338"/>
        <tr r="AU33" s="338"/>
        <tr r="AP49" s="338"/>
        <tr r="AP46" s="338"/>
        <tr r="AU31" s="338"/>
        <tr r="AU47" s="338"/>
        <tr r="AU51" s="338"/>
      </tp>
      <tp>
        <v>410.5</v>
        <stp/>
        <stp>BDP|1655270242269206785|22</stp>
        <stp>1OG6P 25750 INDEX</stp>
        <stp>bid</stp>
        <tr r="P28" s="2"/>
        <tr r="P29" s="2"/>
      </tp>
      <tp>
        <v>335.75</v>
        <stp/>
        <stp>BDP|10734773146792366841|22</stp>
        <stp>TSM US Equity</stp>
        <stp>LAST_PRICE</stp>
        <tr r="Z31" s="2"/>
        <tr r="S19" s="89"/>
        <tr r="Z32" s="2"/>
        <tr r="S20" s="89"/>
      </tp>
      <tp t="s">
        <v>#N/A Requesting Data...4236914664</v>
        <stp/>
        <stp>BDP|3786323124408946521</stp>
        <tr r="D45" s="446"/>
      </tp>
      <tp t="s">
        <v>#N/A Requesting Data...4183464065</v>
        <stp/>
        <stp>BDP|8896143753810578305</stp>
        <tr r="F16" s="2"/>
      </tp>
      <tp t="s">
        <v>#N/A N/A</v>
        <stp/>
        <stp>BDP|2806504826139638334</stp>
        <tr r="AG49" s="1"/>
        <tr r="AG50" s="1"/>
      </tp>
      <tp t="s">
        <v>#N/A Requesting Data...4193733096</v>
        <stp/>
        <stp>BDP|4784976331940308190</stp>
        <tr r="AA144" s="89"/>
        <tr r="Z144" s="89"/>
      </tp>
      <tp t="s">
        <v>#N/A Requesting Data...4272845615</v>
        <stp/>
        <stp>BDP|8953323041114666448</stp>
        <tr r="Q29" s="338"/>
      </tp>
      <tp t="s">
        <v>#N/A Requesting Data...4261358285</v>
        <stp/>
        <stp>BDP|2131718523418809031</stp>
        <tr r="X9" s="338"/>
      </tp>
      <tp t="s">
        <v>#N/A N/A</v>
        <stp/>
        <stp>BDP|8119275495638947437</stp>
        <tr r="AI56" s="1"/>
      </tp>
      <tp t="s">
        <v>#N/A Requesting Data...4206102225</v>
        <stp/>
        <stp>BDP|4060140891760852341</stp>
        <tr r="T95" s="89"/>
      </tp>
      <tp t="s">
        <v>#N/A N/A</v>
        <stp/>
        <stp>BDP|1110263465193964954</stp>
        <tr r="AB122" s="89"/>
        <tr r="AB123" s="89"/>
      </tp>
      <tp t="s">
        <v>#N/A Requesting Data...4283084153</v>
        <stp/>
        <stp>BDP|2842170687233636700</stp>
        <tr r="AH13" s="338"/>
        <tr r="AH34" s="338"/>
      </tp>
      <tp t="s">
        <v>#N/A Requesting Data...4246099744</v>
        <stp/>
        <stp>BDP|1457483532620769970</stp>
        <tr r="L18" s="252"/>
        <tr r="L18" s="252"/>
      </tp>
      <tp t="s">
        <v>#N/A N/A</v>
        <stp/>
        <stp>BDP|4869589199183306457</stp>
        <tr r="K14" s="1"/>
      </tp>
      <tp t="s">
        <v>#N/A Requesting Data...4191408992</v>
        <stp/>
        <stp>BDP|6268649388386345129</stp>
        <tr r="D144" s="89"/>
      </tp>
      <tp t="s">
        <v>#N/A Requesting Data...4204188569</v>
        <stp/>
        <stp>BDP|8154630115763023381</stp>
        <tr r="T52" s="338"/>
      </tp>
      <tp t="s">
        <v>#N/A Requesting Data...4233373971</v>
        <stp/>
        <stp>BDP|7576730522755872830</stp>
        <tr r="F38" s="446"/>
      </tp>
      <tp t="s">
        <v>#N/A Requesting Data...4233089071</v>
        <stp/>
        <stp>BDP|9507005719251486644</stp>
        <tr r="M10" s="252"/>
      </tp>
      <tp t="s">
        <v>#N/A N/A</v>
        <stp/>
        <stp>BDP|3243919885914808926</stp>
        <tr r="AB14" s="1"/>
      </tp>
      <tp t="s">
        <v>#N/A Requesting Data...4223532440</v>
        <stp/>
        <stp>BDP|9290058924696671297</stp>
        <tr r="V76" s="89"/>
        <tr r="AD23" s="2"/>
      </tp>
      <tp t="s">
        <v>#N/A Requesting Data...4284170742</v>
        <stp/>
        <stp>BDP|9539667201337640785</stp>
        <tr r="U36" s="338"/>
      </tp>
      <tp t="s">
        <v>#N/A Requesting Data...4194690804</v>
        <stp/>
        <stp>BDP|7446900777882759491</stp>
        <tr r="AF21" s="1"/>
        <tr r="AF22" s="1"/>
        <tr r="AF23" s="1"/>
        <tr r="AF45" s="338"/>
        <tr r="AF46" s="338"/>
        <tr r="AF49" s="338"/>
        <tr r="AG31" s="338"/>
        <tr r="AG33" s="338"/>
        <tr r="AG41" s="338"/>
        <tr r="AG47" s="338"/>
        <tr r="AG51" s="338"/>
      </tp>
      <tp t="s">
        <v>#N/A N/A</v>
        <stp/>
        <stp>BDP|7758988602381610061</stp>
        <tr r="AC19" s="1"/>
        <tr r="AC20" s="1"/>
      </tp>
      <tp t="s">
        <v>#N/A Requesting Data...4228068987</v>
        <stp/>
        <stp>BDP|1523041059693326867</stp>
        <tr r="Q47" s="338"/>
      </tp>
      <tp t="s">
        <v>#N/A N/A</v>
        <stp/>
        <stp>BDP|8782158116286979106</stp>
        <tr r="AG62" s="1"/>
      </tp>
      <tp t="s">
        <v>#N/A Requesting Data...4272194389</v>
        <stp/>
        <stp>BDP|4065099833740136891</stp>
        <tr r="P42" s="338"/>
      </tp>
      <tp t="s">
        <v>#N/A Requesting Data...4239811822</v>
        <stp/>
        <stp>BDP|2455798198773060078</stp>
        <tr r="E205" s="89"/>
      </tp>
      <tp t="e">
        <v>#N/A</v>
        <stp/>
        <stp>BDH|2822651841919872660</stp>
        <tr r="AN16" s="338"/>
        <tr r="AN38" s="338"/>
        <tr r="AN40" s="338"/>
      </tp>
      <tp t="s">
        <v>#N/A Requesting Data...4227540148</v>
        <stp/>
        <stp>BDP|5267619434148669720</stp>
        <tr r="AJ52" s="338"/>
        <tr r="AJ53" s="338"/>
        <tr r="AJ54" s="338"/>
      </tp>
      <tp t="s">
        <v>#N/A Requesting Data...4243762772</v>
        <stp/>
        <stp>BDP|8622760163721094706</stp>
        <tr r="Z178" s="89"/>
        <tr r="Z179" s="89"/>
        <tr r="AA178" s="89"/>
        <tr r="AA179" s="89"/>
      </tp>
      <tp t="s">
        <v>#N/A Requesting Data...4253599909</v>
        <stp/>
        <stp>BDP|6981952152763597689</stp>
        <tr r="C10" s="2"/>
      </tp>
      <tp t="s">
        <v>#N/A Requesting Data...4281357415</v>
        <stp/>
        <stp>BDP|7148106705448380141</stp>
        <tr r="V41" s="338"/>
      </tp>
      <tp t="s">
        <v>#N/A Requesting Data...4238968068</v>
        <stp/>
        <stp>BDP|1566983548630295344</stp>
        <tr r="AA14" s="2"/>
      </tp>
      <tp t="s">
        <v>#N/A Requesting Data...4218587685</v>
        <stp/>
        <stp>BDP|7511636250779138240</stp>
        <tr r="V40" s="338"/>
      </tp>
      <tp t="s">
        <v>#N/A Requesting Data...4293963019</v>
        <stp/>
        <stp>BDP|5576438787561382724</stp>
        <tr r="AJ10" s="338"/>
        <tr r="AJ11" s="338"/>
        <tr r="AJ33" s="338"/>
      </tp>
      <tp t="s">
        <v>#N/A Requesting Data...4253163133</v>
        <stp/>
        <stp>BDP|1371944730256623208</stp>
        <tr r="T137" s="89"/>
      </tp>
      <tp t="s">
        <v>#N/A Requesting Data...4240539257</v>
        <stp/>
        <stp>BDP|2475069015355307957</stp>
        <tr r="V178" s="89"/>
        <tr r="V179" s="89"/>
      </tp>
      <tp t="s">
        <v>#N/A Requesting Data...4273461207</v>
        <stp/>
        <stp>BDP|8553085138774321079</stp>
        <tr r="T123" s="89"/>
      </tp>
      <tp t="s">
        <v>#N/A Requesting Data...4287891369</v>
        <stp/>
        <stp>BDP|9274343827420648768</stp>
        <tr r="G10" s="446"/>
      </tp>
      <tp t="s">
        <v>#N/A Requesting Data...4245397165</v>
        <stp/>
        <stp>BDP|1937197186723171466</stp>
        <tr r="F31" s="2"/>
      </tp>
      <tp t="s">
        <v>#N/A Requesting Data...4270576568</v>
        <stp/>
        <stp>BDP|1136567666448935591</stp>
        <tr r="V37" s="338"/>
      </tp>
      <tp t="s">
        <v>#N/A N/A</v>
        <stp/>
        <stp>BDP|7385638697900780713</stp>
        <tr r="AB40" s="1"/>
        <tr r="AB41" s="1"/>
      </tp>
      <tp t="s">
        <v>#N/A Requesting Data...4276074926</v>
        <stp/>
        <stp>BDP|7074458105679712510</stp>
        <tr r="V39" s="89"/>
      </tp>
      <tp t="s">
        <v>#N/A Requesting Data...4273478150</v>
        <stp/>
        <stp>BDP|8715752362304396251</stp>
        <tr r="C233" s="89"/>
      </tp>
      <tp t="s">
        <v>#N/A Requesting Data...4278921531</v>
        <stp/>
        <stp>BDP|9728149439951510598</stp>
        <tr r="F17" s="2"/>
        <tr r="F18" s="2"/>
      </tp>
      <tp t="s">
        <v>#N/A Requesting Data...4239866007</v>
        <stp/>
        <stp>BDP|2036830374436602479</stp>
        <tr r="U50" s="338"/>
      </tp>
      <tp t="s">
        <v>#N/A Requesting Data...4288603073</v>
        <stp/>
        <stp>BDP|6317578591636076338</stp>
        <tr r="D138" s="89"/>
      </tp>
      <tp t="s">
        <v>#N/A Requesting Data...4287304200</v>
        <stp/>
        <stp>BDP|7135774786603363450</stp>
        <tr r="D13" s="89"/>
      </tp>
      <tp t="s">
        <v>#N/A Requesting Data...4277761289</v>
        <stp/>
        <stp>BDP|1370952567270052174</stp>
        <tr r="AJ8" s="338"/>
        <tr r="AJ9" s="338"/>
        <tr r="AH8" s="338"/>
        <tr r="AH9" s="338"/>
      </tp>
      <tp t="e">
        <v>#N/A</v>
        <stp/>
        <stp>BDH|8410312236666396161</stp>
        <tr r="AU11" s="338"/>
      </tp>
      <tp t="s">
        <v>#N/A Requesting Data...4269140995</v>
        <stp/>
        <stp>BDP|6970093451128790412</stp>
        <tr r="O13" s="89"/>
        <tr r="T12" s="2"/>
        <tr r="T13" s="2"/>
      </tp>
      <tp t="s">
        <v>#N/A Requesting Data...4259156055</v>
        <stp/>
        <stp>BDP|9908493190928009374</stp>
        <tr r="S17" s="338"/>
      </tp>
      <tp t="s">
        <v>#N/A N/A</v>
        <stp/>
        <stp>BDP|7185263421080695874</stp>
        <tr r="AG57" s="1"/>
      </tp>
      <tp t="s">
        <v>#N/A N/A</v>
        <stp/>
        <stp>BDP|5278263338822851904</stp>
        <tr r="AB108" s="89"/>
      </tp>
      <tp t="s">
        <v>#N/A Requesting Data...4246481008</v>
        <stp/>
        <stp>BDP|6160662584120657700</stp>
        <tr r="G12" s="446"/>
      </tp>
      <tp t="s">
        <v>#N/A Requesting Data...4288878758</v>
        <stp/>
        <stp>BDP|2050769895694328758</stp>
        <tr r="S7" s="252"/>
      </tp>
      <tp t="s">
        <v>#N/A Requesting Data...4274967030</v>
        <stp/>
        <stp>BDP|7406613185485631331</stp>
        <tr r="V233" s="89"/>
      </tp>
      <tp t="s">
        <v>#N/A Requesting Data...4247984916</v>
        <stp/>
        <stp>BDP|8759533260432150600</stp>
        <tr r="E56" s="89"/>
      </tp>
      <tp>
        <v>269.48</v>
        <stp/>
        <stp>BDP|8055576064445977008|22</stp>
        <stp>AAPL US Equity</stp>
        <stp>LAST_PRICE</stp>
        <tr r="Z20" s="2"/>
        <tr r="Z21" s="2"/>
        <tr r="S8" s="89"/>
        <tr r="S7" s="89"/>
      </tp>
      <tp>
        <v>320.33</v>
        <stp/>
        <stp>BDP|6093066913446547993|22</stp>
        <stp>AVGO Equity</stp>
        <stp>LAST_PRICE</stp>
        <tr r="I48" s="1"/>
        <tr r="I46" s="1"/>
        <tr r="I47" s="1"/>
      </tp>
      <tp>
        <v>318.67</v>
        <stp/>
        <stp>BDP|18350845475156370580|22</stp>
        <stp>AMAT EQUITY</stp>
        <stp>LAST_PRICE</stp>
        <tr r="H4" s="1"/>
      </tp>
      <tp>
        <v>32.25</v>
        <stp/>
        <stp>BDP|14476957307763141828|22</stp>
        <stp>TSM US 06/18/26 C340 Equity</stp>
        <stp>bid</stp>
        <tr r="P31" s="2"/>
      </tp>
      <tp>
        <v>-0.13655282557010651</v>
        <stp/>
        <stp>BDP|2641201430782788314|22</stp>
        <stp>MRVL US 03/20/26 P60 Equity</stp>
        <stp>DELTA_MID_RT</stp>
        <tr r="AF19" s="2"/>
      </tp>
      <tp>
        <v>689.53</v>
        <stp/>
        <stp>BDP|11764468863197025710|22</stp>
        <stp>SPY EQUITY</stp>
        <stp>LAST_PRICE</stp>
        <tr r="L4" s="1"/>
      </tp>
      <tp t="s">
        <v>#N/A Requesting Data...4284746416</v>
        <stp/>
        <stp>BDP|4983617041569093735</stp>
        <tr r="U10" s="338"/>
      </tp>
      <tp t="s">
        <v>#N/A Requesting Data...4287329055</v>
        <stp/>
        <stp>BDP|1158468690973405781</stp>
        <tr r="AK18" s="338"/>
      </tp>
      <tp t="s">
        <v>#N/A N/A</v>
        <stp/>
        <stp>BDP|2898694498747321222</stp>
        <tr r="E3" s="1"/>
      </tp>
      <tp t="s">
        <v>#N/A Requesting Data...4266868360</v>
        <stp/>
        <stp>BDP|7526986475906100712</stp>
        <tr r="E123" s="89"/>
      </tp>
      <tp t="s">
        <v>#N/A Requesting Data...4274922244</v>
        <stp/>
        <stp>BDP|9064191480710005817</stp>
        <tr r="V16" s="338"/>
        <tr r="V38" s="338"/>
      </tp>
      <tp t="s">
        <v>#N/A Requesting Data...4265905575</v>
        <stp/>
        <stp>BDP|8642535078653361179</stp>
        <tr r="T154" s="89"/>
      </tp>
      <tp t="s">
        <v>#N/A Requesting Data...4293721584</v>
        <stp/>
        <stp>BDP|9119371270756838373</stp>
        <tr r="N18" s="252"/>
        <tr r="N18" s="252"/>
      </tp>
      <tp t="e">
        <v>#N/A</v>
        <stp/>
        <stp>BDH|7638343489336527270</stp>
        <tr r="AN12" s="338"/>
      </tp>
      <tp t="s">
        <v>#N/A Requesting Data...4294004879</v>
        <stp/>
        <stp>BDP|6201270299844298101</stp>
        <tr r="O68" s="89"/>
      </tp>
      <tp t="s">
        <v>#N/A Requesting Data...4278617906</v>
        <stp/>
        <stp>BDP|8903788637142927602</stp>
        <tr r="AK30" s="338"/>
      </tp>
      <tp t="s">
        <v>#N/A Requesting Data...4272910072</v>
        <stp/>
        <stp>BDP|9657162411476734792</stp>
        <tr r="P47" s="338"/>
      </tp>
      <tp t="s">
        <v>#N/A Requesting Data...4288275654</v>
        <stp/>
        <stp>BDP|8181382277382115633</stp>
        <tr r="AA154" s="89"/>
        <tr r="Z154" s="89"/>
      </tp>
      <tp t="s">
        <v>#N/A Requesting Data...4277701197</v>
        <stp/>
        <stp>BDP|5617698497960107250</stp>
        <tr r="E39" s="89"/>
      </tp>
      <tp t="s">
        <v>#N/A Requesting Data...4293439462</v>
        <stp/>
        <stp>BDP|7099656161528162789</stp>
        <tr r="E25" s="2"/>
      </tp>
      <tp t="s">
        <v>#N/A Requesting Data...4279665961</v>
        <stp/>
        <stp>BDP|9541693808182769518</stp>
        <tr r="D29" s="446"/>
      </tp>
      <tp t="s">
        <v>#N/A N/A</v>
        <stp/>
        <stp>BDP|4088796183165826605</stp>
        <tr r="J8" s="1"/>
      </tp>
      <tp t="s">
        <v>#N/A Requesting Data...4292233249</v>
        <stp/>
        <stp>BDP|6024155984106720147</stp>
        <tr r="D32" s="2"/>
      </tp>
      <tp t="s">
        <v>#N/A Requesting Data...4290051152</v>
        <stp/>
        <stp>BDP|6839173327418343594</stp>
        <tr r="F7" s="446"/>
      </tp>
      <tp t="e">
        <v>#N/A</v>
        <stp/>
        <stp>BDH|9155295561005988029</stp>
        <tr r="AR30" s="338"/>
      </tp>
      <tp t="e">
        <v>#N/A</v>
        <stp/>
        <stp>BDH|8239430891994118935</stp>
        <tr r="AU54" s="338"/>
      </tp>
      <tp t="s">
        <v>#N/A Requesting Data...4291594876</v>
        <stp/>
        <stp>BDP|7248503210943138805</stp>
        <tr r="D68" s="89"/>
      </tp>
      <tp t="s">
        <v>#N/A Requesting Data...4283838617</v>
        <stp/>
        <stp>BDP|5668869742685379426</stp>
        <tr r="AA222" s="89"/>
        <tr r="Z222" s="89"/>
      </tp>
      <tp t="s">
        <v>#N/A Requesting Data...4291137358</v>
        <stp/>
        <stp>BDP|6570414774738554560</stp>
        <tr r="AA7" s="89"/>
        <tr r="Z7" s="89"/>
      </tp>
      <tp t="s">
        <v>#N/A Requesting Data...4276305640</v>
        <stp/>
        <stp>BDP|5036112677148006353</stp>
        <tr r="L55" s="338"/>
        <tr r="L55" s="338"/>
        <tr r="L14" s="338"/>
        <tr r="H55" s="338"/>
        <tr r="J14" s="338"/>
        <tr r="J55" s="338"/>
      </tp>
      <tp t="s">
        <v>#N/A Requesting Data...4280032600</v>
        <stp/>
        <stp>BDP|4132209046743413934</stp>
        <tr r="AA186" s="89"/>
        <tr r="Z186" s="89"/>
      </tp>
      <tp t="s">
        <v>#N/A Requesting Data...4280916647</v>
        <stp/>
        <stp>BDP|8357008011578091921</stp>
        <tr r="O76" s="89"/>
        <tr r="T23" s="2"/>
      </tp>
      <tp t="s">
        <v>#N/A Requesting Data...4278546889</v>
        <stp/>
        <stp>BDP|6284842999589802679</stp>
        <tr r="E7" s="89"/>
      </tp>
      <tp t="s">
        <v>#N/A Requesting Data...4286291302</v>
        <stp/>
        <stp>BDP|5237225300886746967</stp>
        <tr r="AA129" s="89"/>
        <tr r="Z129" s="89"/>
      </tp>
      <tp t="s">
        <v>#N/A N/A</v>
        <stp/>
        <stp>BDP|5098111893277025237</stp>
        <tr r="AI19" s="1"/>
        <tr r="AI20" s="1"/>
      </tp>
      <tp t="s">
        <v>#N/A Requesting Data...4294208162</v>
        <stp/>
        <stp>BDP|3746009638598604087</stp>
        <tr r="AA136" s="89"/>
        <tr r="Z136" s="89"/>
      </tp>
      <tp t="s">
        <v>#N/A Requesting Data...4285660952</v>
        <stp/>
        <stp>BDP|7027987678572062314</stp>
        <tr r="AC52" s="1"/>
        <tr r="AC53" s="1"/>
        <tr r="D36" s="446"/>
      </tp>
      <tp t="e">
        <v>#N/A</v>
        <stp/>
        <stp>BDH|2554518577689456165</stp>
        <tr r="AN41" s="338"/>
        <tr r="AN42" s="338"/>
      </tp>
      <tp t="s">
        <v>#N/A Requesting Data...4289695577</v>
        <stp/>
        <stp>BDP|2739243071518004749</stp>
        <tr r="E138" s="89"/>
      </tp>
      <tp t="s">
        <v>#N/A N/A</v>
        <stp/>
        <stp>BDP|9400997768466424874</stp>
        <tr r="AV24" s="2"/>
        <tr r="AV25" s="2"/>
        <tr r="AV26" s="2"/>
        <tr r="R195" s="89"/>
        <tr r="R196" s="89"/>
        <tr r="R197" s="89"/>
        <tr r="AV27" s="2"/>
      </tp>
      <tp t="e">
        <v>#N/A</v>
        <stp/>
        <stp>BDH|7098300471569210257</stp>
        <tr r="AS11" s="338"/>
      </tp>
      <tp t="e">
        <v>#N/A</v>
        <stp/>
        <stp>BDH|7010958550111077231</stp>
        <tr r="T16" s="252"/>
        <tr r="W16" s="252"/>
      </tp>
      <tp t="s">
        <v>#N/A Requesting Data...4293362416</v>
        <stp/>
        <stp>BDP|9700577072422456111</stp>
        <tr r="C19" s="2"/>
      </tp>
      <tp t="e">
        <v>#N/A</v>
        <stp/>
        <stp>BDH|2614750383697728205</stp>
        <tr r="AN17" s="338"/>
        <tr r="AN18" s="338"/>
      </tp>
      <tp t="s">
        <v>#N/A Requesting Data...4287239323</v>
        <stp/>
        <stp>BDP|7729357933776037950</stp>
        <tr r="F19" s="2"/>
      </tp>
      <tp t="s">
        <v>#N/A Requesting Data...4289416708</v>
        <stp/>
        <stp>BDP|9450040674965070308</stp>
        <tr r="E32" s="2"/>
      </tp>
      <tp t="e">
        <v>#N/A</v>
        <stp/>
        <stp>BDH|2375673906255636901</stp>
        <tr r="T11" s="252"/>
        <tr r="W11" s="252"/>
      </tp>
      <tp t="s">
        <v>#N/A Requesting Data...4290533057</v>
        <stp/>
        <stp>BDP|7322810857195514754</stp>
        <tr r="T235" s="89"/>
      </tp>
      <tp>
        <v>18.3</v>
        <stp/>
        <stp>BDP|10321974960198697342|22</stp>
        <stp>AAPL US 04/17/26 C260 Equity</stp>
        <stp>mid</stp>
        <tr r="L20" s="2"/>
      </tp>
      <tp>
        <v>122.075</v>
        <stp/>
        <stp>BDP|1232203967796078876|22</stp>
        <stp>ABNB Equity</stp>
        <stp>LAST PRICE</stp>
        <tr r="I12" s="338"/>
      </tp>
      <tp>
        <v>34.42</v>
        <stp/>
        <stp>BDP|2650520762982825878|22</stp>
        <stp>KWEB Equity</stp>
        <stp>LAST_PRICE</stp>
        <tr r="H12" s="252"/>
        <tr r="H12" s="252"/>
      </tp>
      <tp>
        <v>6.25</v>
        <stp/>
        <stp>BDP|239012915816136366|22</stp>
        <stp>MRVL US 03/20/26 P75 Equity</stp>
        <stp>bid</stp>
        <tr r="P15" s="2"/>
      </tp>
      <tp t="s">
        <v>#N/A Requesting Data...3179966722</v>
        <stp/>
        <stp>BDP|2441593726955875997</stp>
        <tr r="L20" s="252"/>
        <tr r="L20" s="252"/>
      </tp>
      <tp t="s">
        <v>#N/A Requesting Data...2541658381</v>
        <stp/>
        <stp>BDP|8996292475495824173</stp>
        <tr r="O16" s="252"/>
      </tp>
      <tp t="s">
        <v>#N/A Requesting Data...1264639920</v>
        <stp/>
        <stp>BDP|8987440124962161522</stp>
        <tr r="E21" s="2"/>
      </tp>
      <tp t="s">
        <v>#N/A N/A</v>
        <stp/>
        <stp>BDP|4478407769949481635</stp>
        <tr r="K34" s="1"/>
      </tp>
      <tp t="s">
        <v>#N/A Requesting Data...1185593708</v>
        <stp/>
        <stp>BDP|9788785317823069539</stp>
        <tr r="C145" s="89"/>
      </tp>
      <tp t="s">
        <v>#N/A Requesting Data...1873527719</v>
        <stp/>
        <stp>BDP|3993805876862168756</stp>
        <tr r="U45" s="338"/>
      </tp>
      <tp t="s">
        <v>#N/A Requesting Data...519623805</v>
        <stp/>
        <stp>BDP|5255036781235828107</stp>
        <tr r="D108" s="89"/>
      </tp>
      <tp t="s">
        <v>#N/A N/A</v>
        <stp/>
        <stp>BDP|6439491793934169661</stp>
        <tr r="AB236" s="89"/>
      </tp>
      <tp t="s">
        <v>#N/A Requesting Data...1912796250</v>
        <stp/>
        <stp>BDP|9754162438145550750</stp>
        <tr r="E16" s="2"/>
      </tp>
      <tp t="s">
        <v>#N/A Requesting Data...551365961</v>
        <stp/>
        <stp>BDP|2257884823860585153</stp>
        <tr r="C144" s="89"/>
      </tp>
      <tp t="s">
        <v>#N/A Requesting Data...980535787</v>
        <stp/>
        <stp>BDP|2463897743725982291</stp>
        <tr r="F20" s="446"/>
      </tp>
      <tp t="s">
        <v>#N/A Requesting Data...2593974207</v>
        <stp/>
        <stp>BDP|9344561247696579794</stp>
        <tr r="AH15" s="338"/>
        <tr r="AH39" s="338"/>
        <tr r="AI40" s="338"/>
      </tp>
      <tp t="s">
        <v>#N/A Requesting Data...3480713163</v>
        <stp/>
        <stp>BDP|4993668660709750479</stp>
        <tr r="V81" s="89"/>
        <tr r="AD6" s="2"/>
      </tp>
      <tp t="s">
        <v>#N/A N/A</v>
        <stp/>
        <stp>BDP|8207706352447744484</stp>
        <tr r="AG42" s="1"/>
        <tr r="AG43" s="1"/>
      </tp>
      <tp t="s">
        <v>#N/A Requesting Data...1592483715</v>
        <stp/>
        <stp>BDP|8957142006017390744</stp>
        <tr r="AK15" s="338"/>
        <tr r="AK16" s="338"/>
        <tr r="AK17" s="338"/>
        <tr r="AK38" s="338"/>
        <tr r="AK39" s="338"/>
        <tr r="AK44" s="338"/>
        <tr r="AK52" s="338"/>
      </tp>
      <tp t="s">
        <v>#N/A Requesting Data...893264896</v>
        <stp/>
        <stp>BDP|1181258597285733681</stp>
        <tr r="AA49" s="89"/>
        <tr r="Z49" s="89"/>
      </tp>
      <tp t="s">
        <v>#N/A Requesting Data...3270550104</v>
        <stp/>
        <stp>BDP|8914050044192113754</stp>
        <tr r="E154" s="89"/>
      </tp>
      <tp t="s">
        <v>#N/A Requesting Data...1433516985</v>
        <stp/>
        <stp>BDP|7177844979369624871</stp>
        <tr r="Q54" s="338"/>
      </tp>
      <tp t="s">
        <v>#N/A Requesting Data...2873062634</v>
        <stp/>
        <stp>BDP|1918834507510755077</stp>
        <tr r="S8" s="338"/>
      </tp>
      <tp t="s">
        <v>#N/A Requesting Data...2762696004</v>
        <stp/>
        <stp>BDP|8969661073822496253</stp>
        <tr r="V34" s="89"/>
      </tp>
      <tp t="s">
        <v>#N/A Requesting Data...1379591925</v>
        <stp/>
        <stp>BDP|6610210811028938424</stp>
        <tr r="O33" s="89"/>
      </tp>
      <tp t="s">
        <v>#N/A N/A</v>
        <stp/>
        <stp>BDP|8753408631817525119</stp>
        <tr r="AG36" s="1"/>
      </tp>
      <tp t="s">
        <v>#N/A Requesting Data...2300938476</v>
        <stp/>
        <stp>BDP|1186915098941854922</stp>
        <tr r="P17" s="338"/>
      </tp>
      <tp t="s">
        <v>#N/A Requesting Data...3711212162</v>
        <stp/>
        <stp>BDP|3411193788855096676</stp>
        <tr r="AA32" s="2"/>
      </tp>
      <tp t="s">
        <v>#N/A N/A</v>
        <stp/>
        <stp>BDP|5430386408488532737</stp>
        <tr r="AB109" s="89"/>
      </tp>
      <tp t="s">
        <v>#N/A Requesting Data...3520233447</v>
        <stp/>
        <stp>BDP|4772315844178539244</stp>
        <tr r="V116" s="89"/>
      </tp>
      <tp t="s">
        <v>#N/A N/A</v>
        <stp/>
        <stp>BDP|5991696502472233803</stp>
        <tr r="R136" s="89"/>
        <tr r="R137" s="89"/>
        <tr r="R138" s="89"/>
      </tp>
      <tp t="s">
        <v>#N/A Requesting Data...4091975417</v>
        <stp/>
        <stp>BDP|2048477006706491956</stp>
        <tr r="X33" s="338"/>
      </tp>
      <tp t="s">
        <v>#N/A Requesting Data...1625148794</v>
        <stp/>
        <stp>BDP|8993500628312049404</stp>
        <tr r="E180" s="89"/>
      </tp>
      <tp t="s">
        <v>#N/A Requesting Data...714897811</v>
        <stp/>
        <stp>BDP|7323916510374581217</stp>
        <tr r="E28" s="2"/>
        <tr r="E29" s="2"/>
      </tp>
      <tp t="s">
        <v>#N/A Requesting Data...2366861523</v>
        <stp/>
        <stp>BDP|9762563002360150543</stp>
        <tr r="P9" s="338"/>
      </tp>
      <tp t="s">
        <v>#N/A Requesting Data...2376960874</v>
        <stp/>
        <stp>BDP|1617406885725244177</stp>
        <tr r="AA68" s="89"/>
        <tr r="Z68" s="89"/>
      </tp>
      <tp t="s">
        <v>#N/A N/A</v>
        <stp/>
        <stp>BDP|4613553594989765876</stp>
        <tr r="K35" s="1"/>
      </tp>
      <tp t="s">
        <v>#N/A Requesting Data...312061164</v>
        <stp/>
        <stp>BDP|8690033388548820123</stp>
        <tr r="AJ14" s="338"/>
        <tr r="AJ35" s="338"/>
      </tp>
      <tp t="s">
        <v>#N/A Requesting Data...2960319375</v>
        <stp/>
        <stp>BDP|8916289435834203428</stp>
        <tr r="O234" s="89"/>
      </tp>
      <tp t="s">
        <v>#N/A Requesting Data...3062821835</v>
        <stp/>
        <stp>BDP|5400835087744406808</stp>
        <tr r="AG29" s="338"/>
      </tp>
      <tp t="s">
        <v>#N/A Requesting Data...3173750864</v>
        <stp/>
        <stp>BDP|9280288157897826002</stp>
        <tr r="C138" s="89"/>
      </tp>
      <tp t="s">
        <v>#N/A Requesting Data...972386544</v>
        <stp/>
        <stp>BDP|6141864573737095712</stp>
        <tr r="T178" s="89"/>
        <tr r="T179" s="89"/>
      </tp>
      <tp t="s">
        <v>#N/A Requesting Data...1792052793</v>
        <stp/>
        <stp>BDP|8865039534922905038</stp>
        <tr r="L13" s="252"/>
        <tr r="L13" s="252"/>
      </tp>
      <tp t="s">
        <v>#N/A N/A</v>
        <stp/>
        <stp>BDP|8508395004434515685</stp>
        <tr r="AB204" s="89"/>
        <tr r="AB205" s="89"/>
        <tr r="AQ10" s="2"/>
        <tr r="AQ11" s="2"/>
      </tp>
      <tp t="e">
        <v>#N/A</v>
        <stp/>
        <stp>BDH|6576919707510634602</stp>
        <tr r="AP34" s="338"/>
        <tr r="AP13" s="338"/>
      </tp>
      <tp>
        <v>40.5</v>
        <stp/>
        <stp>BDP|14111141271769378618|22</stp>
        <stp>META US 04/17/26 C690 Equity</stp>
        <stp>ask</stp>
        <tr r="L169" s="89"/>
      </tp>
      <tp t="s">
        <v>#N/A Real Time</v>
        <stp/>
        <stp>BDP|11293148887699984855|22</stp>
        <stp>4EM5P    5800 Index</stp>
        <stp>bid</stp>
        <tr r="K138" s="89"/>
      </tp>
      <tp t="s">
        <v>USD</v>
        <stp/>
        <stp>BDP|14253103693290071279|22</stp>
        <stp>AMZN US 07/17/26 C250 Equity</stp>
        <stp>QUOTED_CURRENCY_REALTIME</stp>
        <tr r="F234" s="89"/>
      </tp>
      <tp t="s">
        <v>#N/A Requesting Data...1144931491</v>
        <stp/>
        <stp>BDP|5587682882935341464</stp>
        <tr r="E90" s="89"/>
      </tp>
      <tp t="s">
        <v>#N/A Requesting Data...3969636722</v>
        <stp/>
        <stp>BDP|7230833674217968563</stp>
        <tr r="S36" s="338"/>
      </tp>
      <tp t="s">
        <v>#N/A N/A</v>
        <stp/>
        <stp>BDP|3603190722478324251</stp>
        <tr r="AI52" s="1"/>
        <tr r="AI53" s="1"/>
      </tp>
      <tp t="s">
        <v>#N/A N/A</v>
        <stp/>
        <stp>BDP|1841797186795773188</stp>
        <tr r="AV9" s="2"/>
      </tp>
      <tp t="s">
        <v>#N/A N/A</v>
        <stp/>
        <stp>BDP|6392840872006556586</stp>
        <tr r="E8" s="1"/>
      </tp>
      <tp t="s">
        <v>#N/A Requesting Data...2368210862</v>
        <stp/>
        <stp>BDP|5263574927779802120</stp>
        <tr r="V45" s="338"/>
      </tp>
      <tp t="s">
        <v>#N/A Requesting Data...1392317077</v>
        <stp/>
        <stp>BDP|2344935394120970850</stp>
        <tr r="C108" s="89"/>
      </tp>
      <tp t="s">
        <v>#N/A Requesting Data...3084156521</v>
        <stp/>
        <stp>BDP|1305485589197843027</stp>
        <tr r="AJ17" s="338"/>
        <tr r="AJ18" s="338"/>
        <tr r="AH17" s="338"/>
        <tr r="AH18" s="338"/>
      </tp>
      <tp t="s">
        <v>#N/A Requesting Data...690364408</v>
        <stp/>
        <stp>BDP|9065585755010767336</stp>
        <tr r="F17" s="252"/>
      </tp>
      <tp t="s">
        <v>#N/A Requesting Data...1256427561</v>
        <stp/>
        <stp>BDP|3146823963096909173</stp>
        <tr r="C8" s="89"/>
        <tr r="D21" s="2"/>
      </tp>
      <tp t="e">
        <v>#N/A</v>
        <stp/>
        <stp>BDH|2734053018858031144</stp>
        <tr r="J6" s="252"/>
      </tp>
      <tp t="s">
        <v>#N/A N/A</v>
        <stp/>
        <stp>BDP|2382458668849101304</stp>
        <tr r="K12" s="1"/>
      </tp>
      <tp t="s">
        <v>#N/A N/A</v>
        <stp/>
        <stp>BDP|3271990383928035073</stp>
        <tr r="N10" s="1"/>
      </tp>
      <tp t="s">
        <v>#N/A Requesting Data...2242075558</v>
        <stp/>
        <stp>BDP|7038982583049677518</stp>
        <tr r="T108" s="89"/>
      </tp>
      <tp t="s">
        <v>#N/A Requesting Data...1204488080</v>
        <stp/>
        <stp>BDP|1004337573258431787</stp>
        <tr r="L8" s="338"/>
        <tr r="L9" s="338"/>
        <tr r="H8" s="338"/>
        <tr r="H9" s="338"/>
      </tp>
      <tp t="s">
        <v>#N/A Requesting Data...1222949933</v>
        <stp/>
        <stp>BDP|2913836118172985362</stp>
        <tr r="X47" s="338"/>
      </tp>
      <tp t="s">
        <v>#N/A N/A</v>
        <stp/>
        <stp>BDP|2658140518380678816</stp>
        <tr r="R101" s="89"/>
        <tr r="R102" s="89"/>
        <tr r="R95" s="89"/>
        <tr r="R96" s="89"/>
      </tp>
      <tp t="s">
        <v>#N/A Requesting Data...2769630248</v>
        <stp/>
        <stp>BDP|2322958882768230140</stp>
        <tr r="E178" s="89"/>
        <tr r="E179" s="89"/>
      </tp>
      <tp t="s">
        <v>#N/A Requesting Data...2429057107</v>
        <stp/>
        <stp>BDP|2786473499167807238</stp>
        <tr r="AI45" s="338"/>
      </tp>
      <tp t="s">
        <v>#N/A Requesting Data...1697369520</v>
        <stp/>
        <stp>BDP|6785747401219846296</stp>
        <tr r="S41" s="338"/>
      </tp>
      <tp t="s">
        <v>#N/A Requesting Data...3425361909</v>
        <stp/>
        <stp>BDP|9500211458423629792</stp>
        <tr r="V31" s="338"/>
      </tp>
      <tp t="s">
        <v>#N/A Requesting Data...479310920</v>
        <stp/>
        <stp>BDP|2997981958226965204</stp>
        <tr r="AA28" s="2"/>
        <tr r="AA29" s="2"/>
      </tp>
      <tp t="s">
        <v>#N/A Requesting Data...4064254371</v>
        <stp/>
        <stp>BDP|4587517495856843492</stp>
        <tr r="T16" s="338"/>
        <tr r="T38" s="338"/>
      </tp>
      <tp t="s">
        <v>#N/A N/A</v>
        <stp/>
        <stp>BDP|8471485932241814460</stp>
        <tr r="AB234" s="89"/>
      </tp>
      <tp t="s">
        <v>#N/A N/A</v>
        <stp/>
        <stp>BDP|6310164690724411011</stp>
        <tr r="J7" s="1"/>
      </tp>
      <tp t="s">
        <v>#N/A N/A</v>
        <stp/>
        <stp>BDP|6834122784097772294</stp>
        <tr r="AG15" s="1"/>
      </tp>
      <tp t="s">
        <v>#N/A Requesting Data...1574319095</v>
        <stp/>
        <stp>BDP|2397499487206466291</stp>
        <tr r="O237" s="89"/>
      </tp>
      <tp t="s">
        <v>#N/A N/A</v>
        <stp/>
        <stp>BDP|8582278211013363216</stp>
        <tr r="AI21" s="1"/>
        <tr r="AI22" s="1"/>
        <tr r="AI23" s="1"/>
      </tp>
      <tp t="s">
        <v>#N/A Requesting Data...470917387</v>
        <stp/>
        <stp>BDP|2830595975422333866</stp>
        <tr r="E235" s="89"/>
      </tp>
      <tp t="s">
        <v>#N/A Requesting Data...3551067844</v>
        <stp/>
        <stp>BDP|9965794027725386324</stp>
        <tr r="AB29" s="1"/>
        <tr r="AB30" s="1"/>
        <tr r="F26" s="446"/>
      </tp>
      <tp t="s">
        <v>#N/A Requesting Data...3073237988</v>
        <stp/>
        <stp>BDP|1269563299172286598</stp>
        <tr r="V56" s="89"/>
      </tp>
      <tp t="s">
        <v>#N/A N/A</v>
        <stp/>
        <stp>BDP|3885846074322660492</stp>
        <tr r="AG61" s="1"/>
      </tp>
      <tp t="s">
        <v>#N/A Requesting Data...3755487316</v>
        <stp/>
        <stp>BDP|1001769831296786978</stp>
        <tr r="AI45" s="338"/>
        <tr r="AK45" s="338"/>
      </tp>
      <tp t="s">
        <v>#N/A Requesting Data...3768939449</v>
        <stp/>
        <stp>BDP|3546240833528077058</stp>
        <tr r="F21" s="2"/>
      </tp>
      <tp t="s">
        <v>#N/A N/A</v>
        <stp/>
        <stp>BDP|3860095588139768892</stp>
        <tr r="AC17" s="1"/>
        <tr r="AC18" s="1"/>
      </tp>
      <tp t="s">
        <v>#N/A Requesting Data...3713328948</v>
        <stp/>
        <stp>BDP|3394479430858909693</stp>
        <tr r="C96" s="89"/>
      </tp>
      <tp t="s">
        <v>#N/A Requesting Data...725403762</v>
        <stp/>
        <stp>BDP|4524000010539321624</stp>
        <tr r="V129" s="89"/>
      </tp>
      <tp t="s">
        <v>#N/A N/A</v>
        <stp/>
        <stp>BDP|2140911238616808459</stp>
        <tr r="AB13" s="89"/>
        <tr r="AB14" s="89"/>
        <tr r="AB169" s="89"/>
        <tr r="AB170" s="89"/>
        <tr r="AB171" s="89"/>
        <tr r="AB180" s="89"/>
        <tr r="AB233" s="89"/>
        <tr r="AB27" s="89"/>
        <tr r="AQ12" s="2"/>
        <tr r="AQ13" s="2"/>
      </tp>
      <tp t="s">
        <v>#N/A Requesting Data...1306279750</v>
        <stp/>
        <stp>BDP|3332604227028093513</stp>
        <tr r="S13" s="338"/>
      </tp>
      <tp t="s">
        <v>#N/A Requesting Data...1682520780</v>
        <stp/>
        <stp>BDP|7403651280812138158</stp>
        <tr r="L15" s="338"/>
        <tr r="J15" s="338"/>
        <tr r="L16" s="338"/>
        <tr r="J16" s="338"/>
        <tr r="L17" s="338"/>
        <tr r="J17" s="338"/>
        <tr r="L38" s="338"/>
        <tr r="J38" s="338"/>
        <tr r="L39" s="338"/>
        <tr r="J39" s="338"/>
        <tr r="L44" s="338"/>
        <tr r="J44" s="338"/>
        <tr r="L52" s="338"/>
        <tr r="J52" s="338"/>
      </tp>
      <tp t="s">
        <v>#N/A Requesting Data...816101608</v>
        <stp/>
        <stp>BDP|3948059027399786291</stp>
        <tr r="C102" s="89"/>
      </tp>
      <tp t="s">
        <v>#N/A Real Time</v>
        <stp/>
        <stp>BDP|11422101846013417478|22</stp>
        <stp>SPXW US 12/31/25 C6950 Index</stp>
        <stp>bid</stp>
        <tr r="K160" s="89"/>
      </tp>
      <tp>
        <v>32.92</v>
        <stp/>
        <stp>BDP|12794319931511644694|22</stp>
        <stp>TSM US 06/18/26 C340 Equity</stp>
        <stp>mid</stp>
        <tr r="L31" s="2"/>
      </tp>
      <tp t="s">
        <v>#N/A Requesting Data...1312280022</v>
        <stp/>
        <stp>BDP|8888687617413548780</stp>
        <tr r="L54" s="338"/>
        <tr r="J54" s="338"/>
      </tp>
      <tp t="s">
        <v>#N/A Requesting Data...126385233</v>
        <stp/>
        <stp>BDP|8370638112663958713</stp>
        <tr r="C186" s="89"/>
      </tp>
      <tp t="s">
        <v>#N/A Requesting Data...1061825759</v>
        <stp/>
        <stp>BDP|2329729297960563787</stp>
        <tr r="U42" s="338"/>
      </tp>
      <tp t="s">
        <v>#N/A Requesting Data...836545616</v>
        <stp/>
        <stp>BDP|5055978459833341163</stp>
        <tr r="S40" s="338"/>
      </tp>
      <tp t="s">
        <v>#N/A Requesting Data...796682947</v>
        <stp/>
        <stp>BDP|9916250733583306071</stp>
        <tr r="V95" s="89"/>
      </tp>
      <tp t="s">
        <v>#N/A Requesting Data...2911477561</v>
        <stp/>
        <stp>BDP|4721614875256887832</stp>
        <tr r="AR14" s="2"/>
      </tp>
      <tp t="s">
        <v>#N/A Requesting Data...4294865481</v>
        <stp/>
        <stp>BDP|7681331339914567810</stp>
        <tr r="S47" s="338"/>
      </tp>
      <tp t="s">
        <v>#N/A N/A</v>
        <stp/>
        <stp>BDP|4371199915239626618</stp>
        <tr r="AB115" s="89"/>
        <tr r="AB116" s="89"/>
      </tp>
      <tp t="s">
        <v>#N/A Requesting Data...2505609135</v>
        <stp/>
        <stp>BDP|4926041887351657654</stp>
        <tr r="D137" s="89"/>
      </tp>
      <tp t="s">
        <v>#N/A Requesting Data...2274720237</v>
        <stp/>
        <stp>BDP|4502789287684003446</stp>
        <tr r="AR12" s="2"/>
        <tr r="AR13" s="2"/>
      </tp>
      <tp t="s">
        <v>#N/A N/A</v>
        <stp/>
        <stp>BDP|9866940913692641877</stp>
        <tr r="AF27" s="1"/>
      </tp>
      <tp t="s">
        <v>#N/A Requesting Data...3242011073</v>
        <stp/>
        <stp>BDP|8737954890503872047</stp>
        <tr r="D33" s="446"/>
      </tp>
      <tp t="s">
        <v>#N/A Requesting Data...2700904664</v>
        <stp/>
        <stp>BDP|2112788937098040510</stp>
        <tr r="AJ10" s="338"/>
        <tr r="AJ11" s="338"/>
        <tr r="AJ33" s="338"/>
        <tr r="AH10" s="338"/>
        <tr r="AH11" s="338"/>
        <tr r="AH33" s="338"/>
      </tp>
      <tp t="s">
        <v>#N/A Requesting Data...468993003</v>
        <stp/>
        <stp>BDP|4440081808298299792</stp>
        <tr r="AK42" s="338"/>
        <tr r="AI42" s="338"/>
      </tp>
      <tp t="s">
        <v>#N/A Requesting Data...3344086425</v>
        <stp/>
        <stp>BDP|6735248014207248991</stp>
        <tr r="T49" s="338"/>
      </tp>
      <tp t="s">
        <v>#N/A Requesting Data...2021435371</v>
        <stp/>
        <stp>BDP|2139028585213834226</stp>
        <tr r="AA123" s="89"/>
        <tr r="Z123" s="89"/>
      </tp>
      <tp t="s">
        <v>#N/A Requesting Data...3148984695</v>
        <stp/>
        <stp>BDP|8786342763721865752</stp>
        <tr r="P31" s="338"/>
      </tp>
      <tp t="s">
        <v>#N/A Requesting Data...1419554823</v>
        <stp/>
        <stp>BDP|7001248851652159998</stp>
        <tr r="T34" s="338"/>
      </tp>
      <tp t="s">
        <v>#N/A Requesting Data...3738637332</v>
        <stp/>
        <stp>BDP|9495447526942096644</stp>
        <tr r="AD19" s="2"/>
      </tp>
      <tp t="s">
        <v>#N/A Requesting Data...132445433</v>
        <stp/>
        <stp>BDP|8877503375972789382</stp>
        <tr r="E10" s="2"/>
      </tp>
      <tp t="s">
        <v>#N/A Requesting Data...2009790209</v>
        <stp/>
        <stp>BDP|9762687753917905669</stp>
        <tr r="T12" s="338"/>
      </tp>
      <tp t="s">
        <v>#N/A N/A</v>
        <stp/>
        <stp>BDP|2220703499371845606</stp>
        <tr r="R33" s="89"/>
        <tr r="R34" s="89"/>
        <tr r="R40" s="89"/>
        <tr r="R237" s="89"/>
        <tr r="AV8" s="2"/>
        <tr r="R39" s="89"/>
      </tp>
      <tp t="s">
        <v>#N/A N/A</v>
        <stp/>
        <stp>BDP|1187473443932635805</stp>
        <tr r="AI36" s="1"/>
      </tp>
      <tp t="s">
        <v>#N/A Requesting Data...3125972673</v>
        <stp/>
        <stp>BDP|9615961074615640914</stp>
        <tr r="AJ50" s="338"/>
        <tr r="AJ51" s="338"/>
        <tr r="AK34" s="338"/>
        <tr r="AK35" s="338"/>
        <tr r="AK36" s="338"/>
        <tr r="AK37" s="338"/>
      </tp>
      <tp t="s">
        <v>#N/A Requesting Data...600639812</v>
        <stp/>
        <stp>BDP|6241611932378988086</stp>
        <tr r="G42" s="446"/>
      </tp>
      <tp t="s">
        <v>#N/A Requesting Data...725017692</v>
        <stp/>
        <stp>BDP|6296263756973290900</stp>
        <tr r="F24" s="2"/>
      </tp>
      <tp t="s">
        <v>#N/A Requesting Data...156419312</v>
        <stp/>
        <stp>BDP|7985659615982817917</stp>
        <tr r="V36" s="338"/>
      </tp>
      <tp t="s">
        <v>#N/A Requesting Data...4202872738</v>
        <stp/>
        <stp>BDP|3686904656286506250</stp>
        <tr r="O69" s="89"/>
      </tp>
      <tp t="s">
        <v>#N/A Requesting Data...1777429295</v>
        <stp/>
        <stp>BDP|2754061954929434510</stp>
        <tr r="D62" s="89"/>
      </tp>
      <tp t="e">
        <v>#N/A</v>
        <stp/>
        <stp>BDH|2782134056948552575</stp>
        <tr r="AS31" s="338"/>
        <tr r="AS51" s="338"/>
        <tr r="AN45" s="338"/>
        <tr r="AN46" s="338"/>
        <tr r="AS33" s="338"/>
        <tr r="AN49" s="338"/>
        <tr r="AS41" s="338"/>
        <tr r="AS47" s="338"/>
      </tp>
      <tp t="s">
        <v>#N/A Requesting Data...1781091418</v>
        <stp/>
        <stp>BDP|8637443246353684034</stp>
        <tr r="T51" s="338"/>
      </tp>
      <tp t="s">
        <v>#N/A Requesting Data...1219197871</v>
        <stp/>
        <stp>BDP|7254106586446704322</stp>
        <tr r="AA55" s="89"/>
        <tr r="Z55" s="89"/>
      </tp>
      <tp t="s">
        <v>#N/A N/A</v>
        <stp/>
        <stp>BDP|8959047049495095258</stp>
        <tr r="R211" s="89"/>
        <tr r="R212" s="89"/>
        <tr r="R235" s="89"/>
        <tr r="R213" s="89"/>
      </tp>
      <tp t="s">
        <v>#N/A Requesting Data...2589780357</v>
        <stp/>
        <stp>BDP|5187006175490775958</stp>
        <tr r="N7" s="252"/>
        <tr r="N7" s="252"/>
      </tp>
      <tp t="s">
        <v>#N/A Requesting Data...3103427865</v>
        <stp/>
        <stp>BDP|2612160096671704068</stp>
        <tr r="D31" s="446"/>
      </tp>
      <tp t="s">
        <v>#N/A N/A</v>
        <stp/>
        <stp>BDP|7517755008088933364</stp>
        <tr r="AG19" s="1"/>
        <tr r="AG20" s="1"/>
      </tp>
      <tp t="s">
        <v>#N/A Requesting Data...3728555003</v>
        <stp/>
        <stp>BDP|4718173344583097938</stp>
        <tr r="F16" s="252"/>
      </tp>
      <tp t="s">
        <v>#N/A Requesting Data...2561514757</v>
        <stp/>
        <stp>BDP|2268545091931148418</stp>
        <tr r="O195" s="89"/>
        <tr r="T24" s="2"/>
      </tp>
      <tp t="s">
        <v>#N/A Requesting Data...3761216983</v>
        <stp/>
        <stp>BDP|6048392586087350188</stp>
        <tr r="F10" s="2"/>
      </tp>
      <tp t="s">
        <v>#N/A Requesting Data...3457803328</v>
        <stp/>
        <stp>BDP|9318183699928316256</stp>
        <tr r="D43" s="446"/>
      </tp>
      <tp t="s">
        <v>#N/A Requesting Data...1972640295</v>
        <stp/>
        <stp>BDP|2397389796744963701</stp>
        <tr r="AK42" s="338"/>
      </tp>
      <tp t="s">
        <v>#N/A Requesting Data...2280703299</v>
        <stp/>
        <stp>BDP|2130704157473529871</stp>
        <tr r="C17" s="2"/>
        <tr r="C18" s="2"/>
      </tp>
      <tp t="s">
        <v>#N/A Requesting Data...3345842217</v>
        <stp/>
        <stp>BDP|9352295318971282043</stp>
        <tr r="T102" s="89"/>
      </tp>
      <tp t="s">
        <v>#N/A Requesting Data...1744275786</v>
        <stp/>
        <stp>BDP|7214343880941206609</stp>
        <tr r="AJ44" s="338"/>
        <tr r="AJ47" s="338"/>
        <tr r="AJ48" s="338"/>
        <tr r="AK10" s="338"/>
        <tr r="AK53" s="338"/>
      </tp>
      <tp t="s">
        <v>#N/A Requesting Data...2178652872</v>
        <stp/>
        <stp>BDP|4946496227111068830</stp>
        <tr r="T101" s="89"/>
      </tp>
      <tp t="s">
        <v>#N/A Requesting Data...1532784611</v>
        <stp/>
        <stp>BDP|4411149358442996952</stp>
        <tr r="O11" s="252"/>
      </tp>
      <tp t="s">
        <v>#N/A Requesting Data...3675385414</v>
        <stp/>
        <stp>BDP|8633363721614159645</stp>
        <tr r="G8" s="446"/>
      </tp>
      <tp t="e">
        <v>#N/A</v>
        <stp/>
        <stp>BDH|8248440717831777722</stp>
        <tr r="AN14" s="338"/>
        <tr r="AN35" s="338"/>
      </tp>
      <tp>
        <v>28.75</v>
        <stp/>
        <stp>BDP|16895049281307982456|22</stp>
        <stp>AVGO US 06/18/26 P300 Equity</stp>
        <stp>ask</stp>
        <tr r="L224" s="89"/>
      </tp>
      <tp>
        <v>74.349999999999994</v>
        <stp/>
        <stp>BDP|18281957532617946909|22</stp>
        <stp>META US 07/17/26 C680 Equity</stp>
        <stp>ask</stp>
        <tr r="L233" s="89"/>
      </tp>
      <tp>
        <v>75.540000000000006</v>
        <stp/>
        <stp>BDP|2279876738225149449|22</stp>
        <stp>MRVL US Equity</stp>
        <stp>LAST_PRICE</stp>
        <tr r="Z14" s="2"/>
        <tr r="Z15" s="2"/>
        <tr r="Z16" s="2"/>
        <tr r="Z17" s="2"/>
        <tr r="S62" s="89"/>
        <tr r="S63" s="89"/>
        <tr r="Z19" s="2"/>
        <tr r="Z18" s="2"/>
      </tp>
      <tp>
        <v>-0.55034959316253662</v>
        <stp/>
        <stp>BDP|1393123865485650562|22</stp>
        <stp>MRVL US 03/20/26 P80 Equity</stp>
        <stp>DELTA_MID_RT</stp>
        <tr r="W62" s="89"/>
      </tp>
      <tp t="s">
        <v>USD</v>
        <stp/>
        <stp>BDP|12022496232123920905|22</stp>
        <stp>AAPL US 04/17/26 C280 Equity</stp>
        <stp>QUOTED_CURRENCY_REALTIME</stp>
        <tr r="G21" s="2"/>
        <tr r="F8" s="89"/>
      </tp>
      <tp t="s">
        <v>#N/A N/A</v>
        <stp/>
        <stp>BDP|9669031297401111598</stp>
        <tr r="AG40" s="1"/>
        <tr r="AG41" s="1"/>
      </tp>
      <tp t="s">
        <v>#N/A N/A</v>
        <stp/>
        <stp>BDP|4449199824360687344</stp>
        <tr r="AC28" s="2"/>
        <tr r="AC29" s="2"/>
      </tp>
      <tp t="s">
        <v>#N/A N/A</v>
        <stp/>
        <stp>BDP|4283940605309327082</stp>
        <tr r="AV4" s="2"/>
      </tp>
      <tp t="s">
        <v>#N/A Requesting Data...1784812777</v>
        <stp/>
        <stp>BDP|7846163779046776380</stp>
        <tr r="V8" s="338"/>
      </tp>
      <tp t="s">
        <v>#N/A Requesting Data...2845147851</v>
        <stp/>
        <stp>BDP|3958804124584137945</stp>
        <tr r="O196" s="89"/>
        <tr r="T25" s="2"/>
      </tp>
      <tp t="s">
        <v>#N/A Requesting Data...2817922720</v>
        <stp/>
        <stp>BDP|7798787343353582310</stp>
        <tr r="O233" s="89"/>
      </tp>
      <tp t="s">
        <v>#N/A Requesting Data...573271081</v>
        <stp/>
        <stp>BDP|1272798819383873033</stp>
        <tr r="D9" s="2"/>
      </tp>
      <tp t="s">
        <v>#N/A Requesting Data...374913236</v>
        <stp/>
        <stp>BDP|4966659791349467604</stp>
        <tr r="AG45" s="338"/>
      </tp>
      <tp t="s">
        <v>#N/A Requesting Data...2342428158</v>
        <stp/>
        <stp>BDP|2906346500884364176</stp>
        <tr r="AJ31" s="338"/>
        <tr r="AJ32" s="338"/>
      </tp>
      <tp t="s">
        <v>#N/A Requesting Data...2659163188</v>
        <stp/>
        <stp>BDP|3419727698730200952</stp>
        <tr r="AR4" s="2"/>
      </tp>
      <tp t="s">
        <v>#N/A Requesting Data...3736520187</v>
        <stp/>
        <stp>BDP|6472525957406128491</stp>
        <tr r="AA63" s="89"/>
        <tr r="Z63" s="89"/>
      </tp>
      <tp t="s">
        <v>#N/A N/A</v>
        <stp/>
        <stp>BDP|1105691956700330633</stp>
        <tr r="AG46" s="1"/>
        <tr r="AG47" s="1"/>
        <tr r="AG48" s="1"/>
      </tp>
      <tp t="s">
        <v>#N/A Requesting Data...4003478601</v>
        <stp/>
        <stp>BDP|7494523709231730773</stp>
        <tr r="F31" s="446"/>
      </tp>
      <tp t="s">
        <v>#N/A Requesting Data...2066604160</v>
        <stp/>
        <stp>BDP|4232741544511518284</stp>
        <tr r="Q48" s="338"/>
      </tp>
      <tp t="s">
        <v>#N/A N/A</v>
        <stp/>
        <stp>BDP|2743037479982482367</stp>
        <tr r="AF56" s="1"/>
      </tp>
      <tp t="s">
        <v>#N/A Requesting Data...924618929</v>
        <stp/>
        <stp>BDP|6693094342647469159</stp>
        <tr r="AD28" s="2"/>
        <tr r="AD29" s="2"/>
      </tp>
      <tp t="s">
        <v>#N/A Requesting Data...1005452236</v>
        <stp/>
        <stp>BDP|5592689375484219475</stp>
        <tr r="T186" s="89"/>
      </tp>
      <tp t="s">
        <v>#N/A Requesting Data...1818501078</v>
        <stp/>
        <stp>BDP|8549451961438864644</stp>
        <tr r="AJ55" s="338"/>
        <tr r="AK14" s="338"/>
        <tr r="AK55" s="338"/>
      </tp>
      <tp t="s">
        <v>#N/A Requesting Data...2340792479</v>
        <stp/>
        <stp>BDP|9945382899790540700</stp>
        <tr r="AA138" s="89"/>
        <tr r="Z138" s="89"/>
      </tp>
      <tp t="s">
        <v>#N/A Requesting Data...3648718419</v>
        <stp/>
        <stp>BDP|1051127841111916176</stp>
        <tr r="P16" s="252"/>
      </tp>
      <tp t="s">
        <v>#N/A Requesting Data...1222627117</v>
        <stp/>
        <stp>BDP|2199559048282875569</stp>
        <tr r="AI18" s="338"/>
      </tp>
      <tp t="s">
        <v>#N/A N/A</v>
        <stp/>
        <stp>BDP|2933064726063916726</stp>
        <tr r="AB16" s="1"/>
      </tp>
      <tp t="s">
        <v>#N/A Requesting Data...2675270416</v>
        <stp/>
        <stp>BDP|4374742715501301730</stp>
        <tr r="N16" s="252"/>
        <tr r="N16" s="252"/>
      </tp>
      <tp t="s">
        <v>#N/A Requesting Data...2650907353</v>
        <stp/>
        <stp>BDP|8108642701269026361</stp>
        <tr r="E22" s="2"/>
      </tp>
      <tp t="s">
        <v>#N/A Requesting Data...2988813928</v>
        <stp/>
        <stp>BDP|9063402768959888626</stp>
        <tr r="T196" s="89"/>
        <tr r="AA25" s="2"/>
      </tp>
      <tp t="s">
        <v>#N/A Requesting Data...1478070561</v>
        <stp/>
        <stp>BDP|3004206956470481008</stp>
        <tr r="AA20" s="89"/>
        <tr r="Z20" s="89"/>
      </tp>
      <tp t="s">
        <v>#N/A Requesting Data...2111723338</v>
        <stp/>
        <stp>BDP|8764335623844685936</stp>
        <tr r="T225" s="89"/>
      </tp>
      <tp t="s">
        <v>#N/A Requesting Data...4271271986</v>
        <stp/>
        <stp>BDP|1615244074723761330</stp>
        <tr r="T36" s="338"/>
      </tp>
      <tp t="s">
        <v>#N/A Requesting Data...1100775620</v>
        <stp/>
        <stp>BDP|2553472415851111257</stp>
        <tr r="F22" s="2"/>
      </tp>
      <tp t="s">
        <v>#N/A Requesting Data...2505029950</v>
        <stp/>
        <stp>BDP|3262586736432872378</stp>
        <tr r="Q46" s="338"/>
      </tp>
      <tp t="s">
        <v>#N/A Requesting Data...2668030239</v>
        <stp/>
        <stp>BDP|3018137626915335152</stp>
        <tr r="O50" s="89"/>
      </tp>
      <tp t="s">
        <v>#N/A Requesting Data...1835818204</v>
        <stp/>
        <stp>BDP|8326860540126523632</stp>
        <tr r="E129" s="89"/>
      </tp>
      <tp t="s">
        <v>#N/A Requesting Data...842122403</v>
        <stp/>
        <stp>BDP|5790626169004593599</stp>
        <tr r="F40" s="446"/>
      </tp>
      <tp t="s">
        <v>#N/A Requesting Data...238353877</v>
        <stp/>
        <stp>BDP|9726257024364768910</stp>
        <tr r="O19" s="252"/>
      </tp>
      <tp t="s">
        <v>#N/A Requesting Data...870095295</v>
        <stp/>
        <stp>BDP|3121965407037939996</stp>
        <tr r="T10" s="338"/>
      </tp>
      <tp t="s">
        <v>#N/A N/A</v>
        <stp/>
        <stp>BDP|6940186872470420463</stp>
        <tr r="AI51" s="1"/>
      </tp>
      <tp t="s">
        <v>#N/A Requesting Data...1186614302</v>
        <stp/>
        <stp>BDP|2781273192095754848</stp>
        <tr r="P37" s="338"/>
      </tp>
      <tp t="s">
        <v>#N/A Requesting Data...3319753312</v>
        <stp/>
        <stp>BDP|5028796441871860363</stp>
        <tr r="C223" s="89"/>
        <tr r="D5" s="2"/>
      </tp>
      <tp t="s">
        <v>#N/A Requesting Data...205234770</v>
        <stp/>
        <stp>BDP|5440482774885960773</stp>
        <tr r="AH36" s="338"/>
      </tp>
      <tp t="s">
        <v>#N/A Requesting Data...1772048983</v>
        <stp/>
        <stp>BDP|8903483087139985997</stp>
        <tr r="S8" s="252"/>
      </tp>
      <tp t="s">
        <v>#N/A Requesting Data...767089644</v>
        <stp/>
        <stp>BDP|1490932935796586918</stp>
        <tr r="T19" s="89"/>
      </tp>
      <tp t="s">
        <v>#N/A Requesting Data...1712804691</v>
        <stp/>
        <stp>BDP|2357040805921494704</stp>
        <tr r="AJ10" s="338"/>
        <tr r="AJ11" s="338"/>
        <tr r="AJ33" s="338"/>
      </tp>
      <tp t="e">
        <v>#N/A</v>
        <stp/>
        <stp>BDH|1942072242657893622</stp>
        <tr r="AS35" s="338"/>
        <tr r="AN50" s="338"/>
        <tr r="AN51" s="338"/>
        <tr r="AS34" s="338"/>
        <tr r="AS37" s="338"/>
        <tr r="AS36" s="338"/>
      </tp>
      <tp t="s">
        <v>#N/A Requesting Data...4208726678</v>
        <stp/>
        <stp>BDP|6846041857277848049</stp>
        <tr r="T236" s="89"/>
      </tp>
      <tp t="s">
        <v>#N/A Requesting Data...3918933158</v>
        <stp/>
        <stp>BDP|7276433225395264017</stp>
        <tr r="C49" s="89"/>
      </tp>
      <tp t="e">
        <v>#N/A</v>
        <stp/>
        <stp>BDH|5937682129733795685</stp>
        <tr r="AS17" s="338"/>
        <tr r="AS38" s="338"/>
        <tr r="AS15" s="338"/>
        <tr r="AS52" s="338"/>
        <tr r="AS39" s="338"/>
        <tr r="AS16" s="338"/>
        <tr r="AS44" s="338"/>
      </tp>
      <tp t="s">
        <v>#N/A Requesting Data...2442082911</v>
        <stp/>
        <stp>BDP|1913639431982971268</stp>
        <tr r="V122" s="89"/>
      </tp>
      <tp t="s">
        <v>#N/A Requesting Data...1374407211</v>
        <stp/>
        <stp>BDP|8103428543709687520</stp>
        <tr r="G5" s="446"/>
        <tr r="G6" s="446"/>
      </tp>
      <tp t="s">
        <v>#N/A Requesting Data...3947571842</v>
        <stp/>
        <stp>BDP|5430094244624859152</stp>
        <tr r="D34" s="446"/>
      </tp>
      <tp t="s">
        <v>#N/A N/A</v>
        <stp/>
        <stp>BDP|4500964458409639588</stp>
        <tr r="K61" s="1"/>
      </tp>
      <tp t="s">
        <v>#N/A Requesting Data...1882618357</v>
        <stp/>
        <stp>BDP|5284294530751812164</stp>
        <tr r="AI12" s="338"/>
      </tp>
      <tp t="s">
        <v>#N/A Requesting Data...3050189768</v>
        <stp/>
        <stp>BDP|7007213395359878194</stp>
        <tr r="C12" s="2"/>
        <tr r="C13" s="2"/>
      </tp>
      <tp t="s">
        <v>#N/A Requesting Data...1146664462</v>
        <stp/>
        <stp>BDP|2593154816901666757</stp>
        <tr r="N13" s="252"/>
        <tr r="N13" s="252"/>
      </tp>
      <tp t="s">
        <v>#N/A Requesting Data...1843694233</v>
        <stp/>
        <stp>BDP|9638513960499697749</stp>
        <tr r="T46" s="338"/>
      </tp>
      <tp>
        <v>77.3</v>
        <stp/>
        <stp>BDP|16085343363608571045|22</stp>
        <stp>LITE US 03/20/26 C420 Equity</stp>
        <stp>ask</stp>
        <tr r="Q9" s="2"/>
      </tp>
      <tp>
        <v>14.45</v>
        <stp/>
        <stp>BDP|10736428624520496613|22</stp>
        <stp>MSFT US 02/20/26 P420 Equity</stp>
        <stp>bid</stp>
        <tr r="K212" s="89"/>
      </tp>
      <tp>
        <v>691.7</v>
        <stp/>
        <stp>BDP|3807768373389777345|22</stp>
        <stp>META Equity</stp>
        <stp>LAST_PRICE</stp>
        <tr r="I30" s="1"/>
        <tr r="I29" s="1"/>
      </tp>
      <tp>
        <v>91.79</v>
        <stp/>
        <stp>BDP|7985005465703992696|22</stp>
        <stp>AKAM Equity</stp>
        <stp>LAST_PRICE</stp>
        <tr r="I44" s="1"/>
        <tr r="I45" s="1"/>
      </tp>
      <tp>
        <v>98.22</v>
        <stp/>
        <stp>BDP|11512636158714040679|22</stp>
        <stp>GDX EQUITY</stp>
        <stp>LAST_PRICE</stp>
        <tr r="L10" s="1"/>
      </tp>
      <tp t="s">
        <v>USD</v>
        <stp/>
        <stp>BDP|15724339035979194733|22</stp>
        <stp>META US 02/27/26 C660 Equity</stp>
        <stp>QUOTED_CURRENCY_REALTIME</stp>
        <tr r="F180" s="89"/>
      </tp>
      <tp t="s">
        <v>#N/A Requesting Data...261944059</v>
        <stp/>
        <stp>BDP|9005897765572380053</stp>
        <tr r="E17" s="2"/>
        <tr r="E18" s="2"/>
      </tp>
      <tp t="s">
        <v>#N/A N/A</v>
        <stp/>
        <stp>BDP|1163242074811817033</stp>
        <tr r="R234" s="89"/>
      </tp>
      <tp t="s">
        <v>#N/A Requesting Data...1275394081</v>
        <stp/>
        <stp>BDP|2926137671092226333</stp>
        <tr r="P14" s="252"/>
      </tp>
      <tp t="s">
        <v>#N/A Requesting Data...2200686862</v>
        <stp/>
        <stp>BDP|4780459414043985746</stp>
        <tr r="S33" s="338"/>
      </tp>
      <tp t="s">
        <v>#N/A Requesting Data...1049810071</v>
        <stp/>
        <stp>BDP|3715220583989463590</stp>
        <tr r="AB31" s="1"/>
        <tr r="AB32" s="1"/>
        <tr r="F30" s="446"/>
      </tp>
      <tp t="s">
        <v>#N/A Requesting Data...1539070111</v>
        <stp/>
        <stp>BDP|3983744460122577503</stp>
        <tr r="AF46" s="1"/>
        <tr r="AF47" s="1"/>
        <tr r="AF48" s="1"/>
        <tr r="AF36" s="338"/>
      </tp>
      <tp t="s">
        <v>#N/A Requesting Data...4145750140</v>
        <stp/>
        <stp>BDP|5308081551174601141</stp>
        <tr r="U11" s="338"/>
      </tp>
      <tp t="s">
        <v>#N/A N/A</v>
        <stp/>
        <stp>BDP|3051431949301095732</stp>
        <tr r="AB56" s="1"/>
      </tp>
      <tp t="s">
        <v>#N/A Requesting Data...2583160169</v>
        <stp/>
        <stp>BDP|9260849128942358439</stp>
        <tr r="V13" s="89"/>
        <tr r="AD12" s="2"/>
        <tr r="AD13" s="2"/>
      </tp>
      <tp t="s">
        <v>#N/A Requesting Data...1107971281</v>
        <stp/>
        <stp>BDP|2636595951407112010</stp>
        <tr r="D41" s="446"/>
      </tp>
      <tp t="e">
        <v>#N/A</v>
        <stp/>
        <stp>BDH|7779618312036278380</stp>
        <tr r="J19" s="252"/>
      </tp>
      <tp t="s">
        <v>#N/A Requesting Data...2288660477</v>
        <stp/>
        <stp>BDP|4549966399968232972</stp>
        <tr r="T76" s="89"/>
        <tr r="AA23" s="2"/>
      </tp>
      <tp t="s">
        <v>#N/A Requesting Data...691860678</v>
        <stp/>
        <stp>BDP|6525006869707181227</stp>
        <tr r="AF50" s="338"/>
        <tr r="AF51" s="338"/>
        <tr r="AG34" s="338"/>
        <tr r="AG35" s="338"/>
        <tr r="AG36" s="338"/>
        <tr r="AG37" s="338"/>
      </tp>
      <tp t="s">
        <v>#N/A Requesting Data...4221960161</v>
        <stp/>
        <stp>BDP|2530200609104129121</stp>
        <tr r="AH44" s="338"/>
        <tr r="AH47" s="338"/>
        <tr r="AH48" s="338"/>
        <tr r="AI10" s="338"/>
        <tr r="AI53" s="338"/>
      </tp>
      <tp t="e">
        <v>#N/A</v>
        <stp/>
        <stp>BDH|3124426897902248993</stp>
        <tr r="AP38" s="338"/>
        <tr r="AP40" s="338"/>
        <tr r="AP16" s="338"/>
      </tp>
      <tp t="s">
        <v>#N/A Requesting Data...1470216920</v>
        <stp/>
        <stp>BDP|2239068396858618682</stp>
        <tr r="AR6" s="2"/>
      </tp>
      <tp t="s">
        <v>#N/A Requesting Data...2054786281</v>
        <stp/>
        <stp>BDP|8626964800726479283</stp>
        <tr r="T17" s="338"/>
      </tp>
      <tp t="s">
        <v>#N/A Requesting Data...1446775109</v>
        <stp/>
        <stp>BDP|8161895482119328448</stp>
        <tr r="C195" s="89"/>
        <tr r="D24" s="2"/>
      </tp>
      <tp t="e">
        <v>#N/A</v>
        <stp/>
        <stp>BDH|7125385341135716028</stp>
        <tr r="AP36" s="338"/>
      </tp>
      <tp t="s">
        <v>#N/A Requesting Data...452532257</v>
        <stp/>
        <stp>BDP|6453493511390892665</stp>
        <tr r="T31" s="338"/>
      </tp>
      <tp t="s">
        <v>#N/A Requesting Data...1628357285</v>
        <stp/>
        <stp>BDP|4175505667196201468</stp>
        <tr r="D154" s="89"/>
      </tp>
      <tp t="s">
        <v>#N/A Requesting Data...1635013833</v>
        <stp/>
        <stp>BDP|1933423945534840047</stp>
        <tr r="AK9" s="338"/>
      </tp>
      <tp t="s">
        <v>#N/A Requesting Data...1690021817</v>
        <stp/>
        <stp>BDP|9126466096325630446</stp>
        <tr r="Q11" s="338"/>
      </tp>
      <tp t="s">
        <v>#N/A Requesting Data...970342048</v>
        <stp/>
        <stp>BDP|4087771710803757431</stp>
        <tr r="X54" s="338"/>
      </tp>
      <tp t="s">
        <v>#N/A Requesting Data...3367592720</v>
        <stp/>
        <stp>BDP|7419327903193598239</stp>
        <tr r="AJ15" s="338"/>
        <tr r="AJ39" s="338"/>
        <tr r="AK40" s="338"/>
      </tp>
      <tp t="s">
        <v>#N/A Requesting Data...2863838135</v>
        <stp/>
        <stp>BDP|5133852355808281539</stp>
        <tr r="V63" s="89"/>
        <tr r="AD17" s="2"/>
        <tr r="AD18" s="2"/>
      </tp>
      <tp t="s">
        <v>#N/A N/A</v>
        <stp/>
        <stp>BDP|9525835047501594141</stp>
        <tr r="AG24" s="1"/>
      </tp>
      <tp t="s">
        <v>#N/A N/A</v>
        <stp/>
        <stp>BDP|9212642566604321834</stp>
        <tr r="R89" s="89"/>
        <tr r="R90" s="89"/>
      </tp>
      <tp t="s">
        <v>#N/A Requesting Data...1315178823</v>
        <stp/>
        <stp>BDP|1252039566197775513</stp>
        <tr r="AK54" s="338"/>
      </tp>
      <tp t="s">
        <v>#N/A N/A</v>
        <stp/>
        <stp>BDP|6695752411146080338</stp>
        <tr r="AG38" s="1"/>
        <tr r="AG39" s="1"/>
      </tp>
      <tp t="s">
        <v>#N/A Requesting Data...4199117533</v>
        <stp/>
        <stp>BDP|1795592229337573435</stp>
        <tr r="C212" s="89"/>
      </tp>
      <tp t="s">
        <v>#N/A Requesting Data...4050290356</v>
        <stp/>
        <stp>BDP|1340430251865159018</stp>
        <tr r="C122" s="89"/>
      </tp>
      <tp t="s">
        <v>#N/A N/A</v>
        <stp/>
        <stp>BDP|4316184976870928759</stp>
        <tr r="AF44" s="1"/>
        <tr r="AF45" s="1"/>
      </tp>
      <tp t="s">
        <v>#N/A Requesting Data...2139947459</v>
        <stp/>
        <stp>BDP|3777685039867817484</stp>
        <tr r="E20" s="89"/>
      </tp>
      <tp t="s">
        <v>#N/A N/A</v>
        <stp/>
        <stp>BDP|3531766210442590208</stp>
        <tr r="AF28" s="1"/>
      </tp>
      <tp t="s">
        <v>#N/A Requesting Data...2561401417</v>
        <stp/>
        <stp>BDP|4147460135970660630</stp>
        <tr r="O187" s="89"/>
      </tp>
      <tp t="s">
        <v>#N/A Requesting Data...2604758368</v>
        <stp/>
        <stp>BDP|7175487166638807807</stp>
        <tr r="D205" s="89"/>
      </tp>
      <tp t="s">
        <v>#N/A Requesting Data...923385937</v>
        <stp/>
        <stp>BDP|6124212647123164610</stp>
        <tr r="AA109" s="89"/>
        <tr r="Z109" s="89"/>
      </tp>
      <tp t="e">
        <v>#N/A</v>
        <stp/>
        <stp>BDH|8347706036111535873</stp>
        <tr r="AP18" s="338"/>
        <tr r="AP17" s="338"/>
      </tp>
      <tp t="s">
        <v>#N/A Requesting Data...1148621307</v>
        <stp/>
        <stp>BDP|2987580469143878743</stp>
        <tr r="AA115" s="89"/>
        <tr r="Z115" s="89"/>
      </tp>
      <tp t="s">
        <v>#N/A Requesting Data...3687553513</v>
        <stp/>
        <stp>BDP|7460910680203620073</stp>
        <tr r="E31" s="2"/>
      </tp>
      <tp t="s">
        <v>#N/A N/A</v>
        <stp/>
        <stp>BDP|2426662074501571768</stp>
        <tr r="AI44" s="1"/>
        <tr r="AI45" s="1"/>
      </tp>
      <tp t="s">
        <v>#N/A Requesting Data...2595716346</v>
        <stp/>
        <stp>BDP|1785534484179509007</stp>
        <tr r="U37" s="338"/>
      </tp>
      <tp t="s">
        <v>#N/A N/A</v>
        <stp/>
        <stp>BDP|5488698408242004407</stp>
        <tr r="AI16" s="1"/>
      </tp>
      <tp>
        <v>72.150000000000006</v>
        <stp/>
        <stp>BDP|14201652617253647190|22</stp>
        <stp>META US 07/17/26 C680 Equity</stp>
        <stp>bid</stp>
        <tr r="K233" s="89"/>
      </tp>
      <tp>
        <v>0.01</v>
        <stp/>
        <stp>BDP|586676170107819908|22</stp>
        <stp>QQQ US 02/03/26 P613 Equity</stp>
        <stp>bid</stp>
        <tr r="K81" s="89"/>
        <tr r="P6" s="2"/>
      </tp>
      <tp>
        <v>77.55</v>
        <stp/>
        <stp>BDP|10509480426370688750|22</stp>
        <stp>META US 07/17/26 C670 Equity</stp>
        <stp>bid</stp>
        <tr r="K170" s="89"/>
      </tp>
      <tp>
        <v>18.05</v>
        <stp/>
        <stp>BDP|11530430480112839969|22</stp>
        <stp>AAPL US 04/17/26 C260 Equity</stp>
        <stp>bid</stp>
        <tr r="P20" s="2"/>
        <tr r="K7" s="89"/>
      </tp>
      <tp t="s">
        <v>USD</v>
        <stp/>
        <stp>BDP|397487976034915571|22</stp>
        <stp>TSM US 06/18/26 C380 Equity</stp>
        <stp>QUOTED_CURRENCY_REALTIME</stp>
        <tr r="G32" s="2"/>
      </tp>
      <tp>
        <v>7.5</v>
        <stp/>
        <stp>BDP|17651095983942963831|22</stp>
        <stp>AAPL US 04/17/26 C280 Equity</stp>
        <stp>ask</stp>
        <tr r="Q21" s="2"/>
        <tr r="L8" s="89"/>
      </tp>
      <tp>
        <v>269.48</v>
        <stp/>
        <stp>BDP|4350104393385922955|22</stp>
        <stp>AAPL Equity</stp>
        <stp>LAST PRICE</stp>
        <tr r="I11" s="338"/>
      </tp>
      <tp>
        <v>227.5</v>
        <stp/>
        <stp>BDP|5000418673707116819|22</stp>
        <stp>2OG6P 25000 INDEX</stp>
        <stp>bid</stp>
        <tr r="P30" s="2"/>
      </tp>
      <tp t="s">
        <v>#N/A Requesting Data...500408661</v>
        <stp/>
        <stp>BDP|9823698439132005823</stp>
        <tr r="M12" s="252"/>
      </tp>
      <tp t="s">
        <v>#N/A Requesting Data...502569985</v>
        <stp/>
        <stp>BDP|3019690065241065465</stp>
        <tr r="AI48" s="338"/>
        <tr r="AI49" s="338"/>
      </tp>
      <tp t="s">
        <v>#N/A Requesting Data...671911773</v>
        <stp/>
        <stp>BDP|7188757863485888551</stp>
        <tr r="G39" s="446"/>
      </tp>
      <tp t="s">
        <v>#N/A N/A</v>
        <stp/>
        <stp>BDP|7422247533576110683</stp>
        <tr r="AI61" s="1"/>
      </tp>
      <tp t="s">
        <v>#N/A Requesting Data...2982229586</v>
        <stp/>
        <stp>BDP|5816436142581157225</stp>
        <tr r="T49" s="89"/>
      </tp>
      <tp t="s">
        <v>#N/A Requesting Data...3419400212</v>
        <stp/>
        <stp>BDP|6357706968437215632</stp>
        <tr r="S51" s="338"/>
      </tp>
      <tp t="s">
        <v>#N/A Requesting Data...3600189152</v>
        <stp/>
        <stp>BDP|7978267068122812754</stp>
        <tr r="C8" s="2"/>
      </tp>
      <tp t="s">
        <v>#N/A N/A</v>
        <stp/>
        <stp>BDP|1481294716502130617</stp>
        <tr r="AB44" s="1"/>
        <tr r="AB45" s="1"/>
      </tp>
      <tp t="s">
        <v>#N/A Requesting Data...1769885498</v>
        <stp/>
        <stp>BDP|1443585917713323038</stp>
        <tr r="L30" s="338"/>
        <tr r="J30" s="338"/>
      </tp>
      <tp t="s">
        <v>#N/A Requesting Data...1852605048</v>
        <stp/>
        <stp>BDP|4646626558147768607</stp>
        <tr r="T144" s="89"/>
      </tp>
      <tp t="s">
        <v>#N/A Requesting Data...1791800956</v>
        <stp/>
        <stp>BDP|9958243614845156906</stp>
        <tr r="AK30" s="338"/>
        <tr r="AI30" s="338"/>
      </tp>
      <tp t="s">
        <v>#N/A Requesting Data...2022210842</v>
        <stp/>
        <stp>BDP|1754575979255457051</stp>
        <tr r="G14" s="446"/>
      </tp>
      <tp t="s">
        <v>#N/A Requesting Data...1301069725</v>
        <stp/>
        <stp>BDP|9212972615641945606</stp>
        <tr r="AH52" s="338"/>
        <tr r="AH53" s="338"/>
        <tr r="AH54" s="338"/>
        <tr r="AJ52" s="338"/>
        <tr r="AJ53" s="338"/>
        <tr r="AJ54" s="338"/>
      </tp>
      <tp t="s">
        <v>#N/A Requesting Data...406461187</v>
        <stp/>
        <stp>BDP|6095484704072209604</stp>
        <tr r="AJ13" s="338"/>
        <tr r="AJ34" s="338"/>
      </tp>
      <tp t="s">
        <v>#N/A Requesting Data...2260768282</v>
        <stp/>
        <stp>BDP|6921540255739678909</stp>
        <tr r="AK32" s="338"/>
        <tr r="AK46" s="338"/>
        <tr r="AK50" s="338"/>
        <tr r="AK8" s="338"/>
      </tp>
      <tp t="s">
        <v>#N/A Requesting Data...471219044</v>
        <stp/>
        <stp>BDP|6647458260250823259</stp>
        <tr r="V205" s="89"/>
        <tr r="AD11" s="2"/>
      </tp>
      <tp t="s">
        <v>#N/A Requesting Data...1115915666</v>
        <stp/>
        <stp>BDP|5836174453674625345</stp>
        <tr r="V34" s="338"/>
      </tp>
      <tp t="s">
        <v>#N/A Requesting Data...3121842051</v>
        <stp/>
        <stp>BDP|6914181187250139988</stp>
        <tr r="T223" s="89"/>
        <tr r="AA5" s="2"/>
      </tp>
      <tp t="s">
        <v>#N/A Requesting Data...3878112463</v>
        <stp/>
        <stp>BDP|3930578222146831483</stp>
        <tr r="G43" s="446"/>
      </tp>
      <tp t="s">
        <v>#N/A N/A</v>
        <stp/>
        <stp>BDP|8403728728339567278</stp>
        <tr r="AC62" s="1"/>
      </tp>
      <tp t="s">
        <v>#N/A Requesting Data...2925455471</v>
        <stp/>
        <stp>BDP|3166087990788095446</stp>
        <tr r="G21" s="446"/>
      </tp>
      <tp t="s">
        <v>#N/A Requesting Data...1596742714</v>
        <stp/>
        <stp>BDP|4996607430791175657</stp>
        <tr r="T122" s="89"/>
      </tp>
      <tp t="s">
        <v>#N/A N/A</v>
        <stp/>
        <stp>BDP|6439251290132958955</stp>
        <tr r="AG60" s="1"/>
      </tp>
      <tp t="s">
        <v>#N/A Requesting Data...2905558030</v>
        <stp/>
        <stp>BDP|3807948298497989200</stp>
        <tr r="P45" s="338"/>
      </tp>
      <tp t="s">
        <v>#N/A N/A</v>
        <stp/>
        <stp>BDP|4148348666006447154</stp>
        <tr r="AF24" s="1"/>
      </tp>
      <tp t="s">
        <v>#N/A N/A</v>
        <stp/>
        <stp>BDP|9242806905375372266</stp>
        <tr r="R122" s="89"/>
        <tr r="R123" s="89"/>
      </tp>
      <tp t="s">
        <v>#N/A Requesting Data...1858283388</v>
        <stp/>
        <stp>BDP|3531676896459233342</stp>
        <tr r="G35" s="446"/>
      </tp>
      <tp t="s">
        <v>#N/A Requesting Data...2654277246</v>
        <stp/>
        <stp>BDP|9850960325197941300</stp>
        <tr r="AF16" s="338"/>
        <tr r="AF38" s="338"/>
        <tr r="AF40" s="338"/>
      </tp>
      <tp t="s">
        <v>#N/A Requesting Data...2588802920</v>
        <stp/>
        <stp>BDP|1831578601782415092</stp>
        <tr r="V18" s="338"/>
      </tp>
      <tp t="s">
        <v>#N/A Requesting Data...2900078263</v>
        <stp/>
        <stp>BDP|5023379335197141408</stp>
        <tr r="O197" s="89"/>
        <tr r="T26" s="2"/>
        <tr r="T27" s="2"/>
      </tp>
      <tp t="s">
        <v>#N/A Requesting Data...2455491111</v>
        <stp/>
        <stp>BDP|5205861990736541413</stp>
        <tr r="E20" s="2"/>
      </tp>
      <tp t="s">
        <v>#N/A Requesting Data...319883392</v>
        <stp/>
        <stp>BDP|2967677548975512320</stp>
        <tr r="Q50" s="338"/>
      </tp>
      <tp t="s">
        <v>#N/A Requesting Data...1203731124</v>
        <stp/>
        <stp>BDP|5315552559291956278</stp>
        <tr r="T56" s="89"/>
      </tp>
      <tp t="s">
        <v>#N/A Requesting Data...754346871</v>
        <stp/>
        <stp>BDP|9650470625011320866</stp>
        <tr r="AA225" s="89"/>
        <tr r="Z225" s="89"/>
      </tp>
      <tp t="s">
        <v>#N/A Requesting Data...2634225148</v>
        <stp/>
        <stp>BDP|9271742846914689876</stp>
        <tr r="S15" s="338"/>
        <tr r="S39" s="338"/>
      </tp>
      <tp t="s">
        <v>#N/A Requesting Data...1521144962</v>
        <stp/>
        <stp>BDP|1183356610207551274</stp>
        <tr r="T32" s="2"/>
      </tp>
      <tp t="s">
        <v>#N/A Requesting Data...2884775088</v>
        <stp/>
        <stp>BDP|3672362430114067167</stp>
        <tr r="T14" s="338"/>
      </tp>
      <tp t="s">
        <v>#N/A Requesting Data...2548762060</v>
        <stp/>
        <stp>BDP|7024465816144052067</stp>
        <tr r="C7" s="89"/>
        <tr r="D20" s="2"/>
      </tp>
      <tp t="s">
        <v>#N/A Requesting Data...466769966</v>
        <stp/>
        <stp>BDP|3597495719060392002</stp>
        <tr r="C237" s="89"/>
      </tp>
      <tp t="s">
        <v>#N/A Requesting Data...1878184416</v>
        <stp/>
        <stp>BDP|2714917007269668409</stp>
        <tr r="M8" s="252"/>
      </tp>
      <tp t="s">
        <v>#N/A Requesting Data...3142660189</v>
        <stp/>
        <stp>BDP|7823950808111144939</stp>
        <tr r="AJ44" s="338"/>
        <tr r="AJ47" s="338"/>
        <tr r="AJ48" s="338"/>
        <tr r="AK10" s="338"/>
        <tr r="AK53" s="338"/>
      </tp>
      <tp t="s">
        <v>#N/A Requesting Data...1185043223</v>
        <stp/>
        <stp>BDP|5039887386546055596</stp>
        <tr r="T7" s="89"/>
        <tr r="AA20" s="2"/>
      </tp>
      <tp t="s">
        <v>#N/A Requesting Data...2254163871</v>
        <stp/>
        <stp>BDP|8408000722589740564</stp>
        <tr r="T68" s="89"/>
      </tp>
      <tp t="s">
        <v>#N/A Requesting Data...1274649683</v>
        <stp/>
        <stp>BDP|8885961869603230210</stp>
        <tr r="AK32" s="338"/>
        <tr r="AK46" s="338"/>
        <tr r="AK50" s="338"/>
        <tr r="AK8" s="338"/>
      </tp>
      <tp t="s">
        <v>#N/A Requesting Data...3503514173</v>
        <stp/>
        <stp>BDP|5018086030232967252</stp>
        <tr r="AA8" s="2"/>
      </tp>
      <tp t="s">
        <v>#N/A Requesting Data...723943502</v>
        <stp/>
        <stp>BDP|5769981822101030995</stp>
        <tr r="T96" s="89"/>
      </tp>
      <tp t="s">
        <v>#N/A Requesting Data...3790135158</v>
        <stp/>
        <stp>BDP|8318036623599634512</stp>
        <tr r="D225" s="89"/>
      </tp>
      <tp t="e">
        <v>#N/A</v>
        <stp/>
        <stp>BDH|1686658876022552443</stp>
        <tr r="AM36" s="338"/>
      </tp>
      <tp t="s">
        <v>#N/A N/A</v>
        <stp/>
        <stp>BDP|1772751390731486839</stp>
        <tr r="AI42" s="1"/>
        <tr r="AI43" s="1"/>
      </tp>
      <tp t="s">
        <v>#N/A N/A</v>
        <stp/>
        <stp>BDP|3256176262240474260</stp>
        <tr r="E4" s="1"/>
      </tp>
      <tp t="s">
        <v>#N/A Requesting Data...829974387</v>
        <stp/>
        <stp>BDP|7214956164048318650</stp>
        <tr r="U34" s="338"/>
      </tp>
      <tp>
        <v>691.7</v>
        <stp/>
        <stp>BDP|8831218337912200139|22</stp>
        <stp>META Equity</stp>
        <stp>LAST PRICE</stp>
        <tr r="G10" s="338"/>
        <tr r="G11" s="338"/>
        <tr r="G33" s="338"/>
      </tp>
      <tp t="s">
        <v>#N/A Real Time</v>
        <stp/>
        <stp>BDP|15837909666438988840|22</stp>
        <stp>4EM5P    5800 Index</stp>
        <stp>ask</stp>
        <tr r="L138" s="89"/>
      </tp>
      <tp t="s">
        <v>USD</v>
        <stp/>
        <stp>BDP|989677972426117411|22</stp>
        <stp>2OG6P 25000 Index</stp>
        <stp>QUOTED_CURRENCY_REALTIME</stp>
        <tr r="F154" s="89"/>
      </tp>
      <tp>
        <v>-0.14455333352088928</v>
        <stp/>
        <stp>BDP|8795046347241444117|22</stp>
        <stp>AVGO US 06/18/26 C350 Equity</stp>
        <stp>theta_mid_rt</stp>
        <tr r="AN5" s="2"/>
      </tp>
      <tp t="s">
        <v>#N/A Requesting Data...317994581</v>
        <stp/>
        <stp>BDP|1017464849172281472</stp>
        <tr r="E49" s="89"/>
      </tp>
      <tp t="s">
        <v>#N/A Requesting Data...1133869872</v>
        <stp/>
        <stp>BDP|4283425441594897730</stp>
        <tr r="AA169" s="89"/>
        <tr r="Z169" s="89"/>
      </tp>
      <tp t="s">
        <v>#N/A Requesting Data...1569591059</v>
        <stp/>
        <stp>BDP|4245799967772009077</stp>
        <tr r="D37" s="446"/>
      </tp>
      <tp t="s">
        <v>#N/A Requesting Data...913167342</v>
        <stp/>
        <stp>BDP|4758516714777806016</stp>
        <tr r="AR17" s="2"/>
        <tr r="AR18" s="2"/>
      </tp>
      <tp t="s">
        <v>#N/A Requesting Data...2232048779</v>
        <stp/>
        <stp>BDP|2863781781368349292</stp>
        <tr r="AJ16" s="338"/>
        <tr r="AJ38" s="338"/>
        <tr r="AJ40" s="338"/>
      </tp>
      <tp t="s">
        <v>#N/A Requesting Data...726980258</v>
        <stp/>
        <stp>BDP|8120208431448184693</stp>
        <tr r="S46" s="338"/>
      </tp>
      <tp t="s">
        <v>#N/A N/A</v>
        <stp/>
        <stp>BDP|7156185906827354649</stp>
        <tr r="AI13" s="1"/>
      </tp>
      <tp t="s">
        <v>#N/A Requesting Data...2482146374</v>
        <stp/>
        <stp>BDP|4897361001360642018</stp>
        <tr r="T48" s="338"/>
      </tp>
      <tp t="s">
        <v>#N/A N/A</v>
        <stp/>
        <stp>BDP|6577894425722203925</stp>
        <tr r="AI54" s="1"/>
        <tr r="AI55" s="1"/>
      </tp>
      <tp t="s">
        <v>#N/A Requesting Data...1367601549</v>
        <stp/>
        <stp>BDP|5289094940154690244</stp>
        <tr r="S14" s="338"/>
      </tp>
      <tp t="s">
        <v>#N/A Requesting Data...2785091494</v>
        <stp/>
        <stp>BDP|1707015801081904771</stp>
        <tr r="S11" s="338"/>
      </tp>
      <tp t="s">
        <v>#N/A N/A</v>
        <stp/>
        <stp>BDP|5947737455944304421</stp>
        <tr r="AB54" s="1"/>
        <tr r="AB55" s="1"/>
      </tp>
      <tp t="s">
        <v>#N/A Requesting Data...881187210</v>
        <stp/>
        <stp>BDP|1510584037002581204</stp>
        <tr r="T115" s="89"/>
      </tp>
      <tp t="s">
        <v>#N/A Requesting Data...1165414741</v>
        <stp/>
        <stp>BDP|6917157052941035414</stp>
        <tr r="AK54" s="338"/>
      </tp>
      <tp t="s">
        <v>#N/A Requesting Data...2933577231</v>
        <stp/>
        <stp>BDP|1092378379464484650</stp>
        <tr r="G9" s="446"/>
      </tp>
      <tp t="s">
        <v>#N/A N/A</v>
        <stp/>
        <stp>BDP|9889453146238052643</stp>
        <tr r="K36" s="1"/>
      </tp>
      <tp t="s">
        <v>#N/A Requesting Data...3086787942</v>
        <stp/>
        <stp>BDP|5346594685016575959</stp>
        <tr r="AI18" s="338"/>
        <tr r="AK18" s="338"/>
      </tp>
      <tp t="e">
        <v>#N/A</v>
        <stp/>
        <stp>BDH|1201387958901408191</stp>
        <tr r="AP33" s="338"/>
        <tr r="AP11" s="338"/>
        <tr r="AP10" s="338"/>
      </tp>
      <tp t="s">
        <v>#N/A Requesting Data...3336907329</v>
        <stp/>
        <stp>BDP|5675170649634239369</stp>
        <tr r="E109" s="89"/>
      </tp>
      <tp t="s">
        <v>#N/A Requesting Data...1703702987</v>
        <stp/>
        <stp>BDP|7675645627431897518</stp>
        <tr r="C31" s="2"/>
      </tp>
      <tp t="s">
        <v>#N/A Requesting Data...452435426</v>
        <stp/>
        <stp>BDP|3706549500372914371</stp>
        <tr r="E136" s="89"/>
      </tp>
      <tp t="s">
        <v>#N/A N/A</v>
        <stp/>
        <stp>BDP|5312075309057886586</stp>
        <tr r="AI58" s="1"/>
        <tr r="AI59" s="1"/>
      </tp>
      <tp t="s">
        <v>#N/A Requesting Data...1548084207</v>
        <stp/>
        <stp>BDP|7107626834487292286</stp>
        <tr r="L11" s="252"/>
        <tr r="L11" s="252"/>
      </tp>
      <tp t="s">
        <v>#N/A Requesting Data...842685737</v>
        <stp/>
        <stp>BDP|8336092558638833275</stp>
        <tr r="M18" s="252"/>
      </tp>
      <tp t="s">
        <v>#N/A Requesting Data...1810294876</v>
        <stp/>
        <stp>BDP|2787535871500884705</stp>
        <tr r="S35" s="338"/>
      </tp>
      <tp t="s">
        <v>#N/A N/A</v>
        <stp/>
        <stp>BDP|7341491708322758684</stp>
        <tr r="AB144" s="89"/>
        <tr r="AB145" s="89"/>
      </tp>
      <tp t="s">
        <v>#N/A Requesting Data...3127982706</v>
        <stp/>
        <stp>BDP|1288906989993060491</stp>
        <tr r="X49" s="338"/>
      </tp>
      <tp t="s">
        <v>#N/A Requesting Data...3580086276</v>
        <stp/>
        <stp>BDP|5938177747656903132</stp>
        <tr r="S55" s="338"/>
      </tp>
      <tp t="s">
        <v>#N/A Requesting Data...1903021100</v>
        <stp/>
        <stp>BDP|1855721819082945297</stp>
        <tr r="P52" s="338"/>
      </tp>
      <tp t="s">
        <v>#N/A Requesting Data...4287109268</v>
        <stp/>
        <stp>BDP|9340297150798850129</stp>
        <tr r="E186" s="89"/>
      </tp>
      <tp t="s">
        <v>#N/A Requesting Data...916986927</v>
        <stp/>
        <stp>BDP|7226011316269547804</stp>
        <tr r="AA101" s="89"/>
        <tr r="Z101" s="89"/>
      </tp>
      <tp t="s">
        <v>#N/A Requesting Data...1673008624</v>
        <stp/>
        <stp>BDP|6670767722864327018</stp>
        <tr r="AH15" s="338"/>
        <tr r="AH39" s="338"/>
        <tr r="AI40" s="338"/>
        <tr r="AJ15" s="338"/>
        <tr r="AJ39" s="338"/>
        <tr r="AK40" s="338"/>
      </tp>
      <tp t="s">
        <v>#N/A Requesting Data...3303218631</v>
        <stp/>
        <stp>BDP|9683098287681113793</stp>
        <tr r="C14" s="89"/>
        <tr r="C171" s="89"/>
        <tr r="C27" s="89"/>
      </tp>
      <tp t="s">
        <v>#N/A Requesting Data...1125614390</v>
        <stp/>
        <stp>BDP|6362624963838148922</stp>
        <tr r="AF31" s="1"/>
        <tr r="AF32" s="1"/>
        <tr r="AF8" s="338"/>
        <tr r="AF9" s="338"/>
      </tp>
      <tp t="s">
        <v>#N/A Requesting Data...2890197002</v>
        <stp/>
        <stp>BDP|2907663611126652497</stp>
        <tr r="D136" s="89"/>
      </tp>
      <tp t="s">
        <v>#N/A Requesting Data...3226682941</v>
        <stp/>
        <stp>BDP|5447413907492272417</stp>
        <tr r="AG48" s="338"/>
        <tr r="AG49" s="338"/>
      </tp>
      <tp t="s">
        <v>#N/A Requesting Data...1463383970</v>
        <stp/>
        <stp>BDP|4445164765726738268</stp>
        <tr r="AA170" s="89"/>
        <tr r="Z170" s="89"/>
      </tp>
      <tp t="s">
        <v>#N/A Requesting Data...2977053756</v>
        <stp/>
        <stp>BDP|2614909402095251903</stp>
        <tr r="L12" s="252"/>
        <tr r="L12" s="252"/>
      </tp>
      <tp t="s">
        <v>#N/A Requesting Data...3500700466</v>
        <stp/>
        <stp>BDP|1776687918603536244</stp>
        <tr r="V196" s="89"/>
        <tr r="AD25" s="2"/>
      </tp>
      <tp t="s">
        <v>#N/A Requesting Data...2899435187</v>
        <stp/>
        <stp>BDP|1763661788150711882</stp>
        <tr r="E233" s="89"/>
      </tp>
      <tp t="s">
        <v>#N/A Requesting Data...689975181</v>
        <stp/>
        <stp>BDP|5476793879341768354</stp>
        <tr r="AK30" s="338"/>
      </tp>
      <tp t="s">
        <v>#N/A Requesting Data...3571386868</v>
        <stp/>
        <stp>BDP|5145531487678652752</stp>
        <tr r="AI15" s="338"/>
        <tr r="AI16" s="338"/>
        <tr r="AI17" s="338"/>
        <tr r="AI38" s="338"/>
        <tr r="AI39" s="338"/>
        <tr r="AI44" s="338"/>
        <tr r="AI52" s="338"/>
        <tr r="AK15" s="338"/>
        <tr r="AK16" s="338"/>
        <tr r="AK17" s="338"/>
        <tr r="AK38" s="338"/>
        <tr r="AK39" s="338"/>
        <tr r="AK44" s="338"/>
        <tr r="AK52" s="338"/>
      </tp>
      <tp t="s">
        <v>#N/A Requesting Data...1232686252</v>
        <stp/>
        <stp>BDP|9356568301399407276</stp>
        <tr r="L29" s="338"/>
        <tr r="J29" s="338"/>
      </tp>
      <tp t="s">
        <v>#N/A Requesting Data...579643557</v>
        <stp/>
        <stp>BDP|7057279456164256342</stp>
        <tr r="S32" s="338"/>
      </tp>
      <tp t="s">
        <v>#N/A Requesting Data...4103065077</v>
        <stp/>
        <stp>BDP|8901954355874847764</stp>
        <tr r="O213" s="89"/>
      </tp>
      <tp t="s">
        <v>#N/A Requesting Data...1887644522</v>
        <stp/>
        <stp>BDP|7250845338122873916</stp>
        <tr r="D15" s="2"/>
      </tp>
      <tp t="s">
        <v>#N/A Requesting Data...963193012</v>
        <stp/>
        <stp>BDP|5679496740627876502</stp>
        <tr r="N20" s="252"/>
        <tr r="N20" s="252"/>
      </tp>
      <tp t="s">
        <v>#N/A Requesting Data...1829186231</v>
        <stp/>
        <stp>BDP|7775425857631476016</stp>
        <tr r="X53" s="338"/>
      </tp>
      <tp t="s">
        <v>#N/A Requesting Data...1303041673</v>
        <stp/>
        <stp>BDP|6730519311327945299</stp>
        <tr r="AK11" s="338"/>
      </tp>
      <tp t="s">
        <v>#N/A Requesting Data...3336194962</v>
        <stp/>
        <stp>BDP|7034052966182144450</stp>
        <tr r="G7" s="446"/>
      </tp>
      <tp t="s">
        <v>#N/A Requesting Data...613825740</v>
        <stp/>
        <stp>BDP|5264049846531072744</stp>
        <tr r="AA95" s="89"/>
        <tr r="Z95" s="89"/>
      </tp>
      <tp t="s">
        <v>#N/A Requesting Data...1122872818</v>
        <stp/>
        <stp>BDP|2027401203994540526</stp>
        <tr r="AA188" s="89"/>
        <tr r="Z188" s="89"/>
      </tp>
      <tp t="s">
        <v>#N/A Requesting Data...3064520446</v>
        <stp/>
        <stp>BDP|1685711720524577765</stp>
        <tr r="T19" s="2"/>
      </tp>
      <tp t="s">
        <v>#N/A Requesting Data...2554120063</v>
        <stp/>
        <stp>BDP|4375402103807111045</stp>
        <tr r="AR24" s="2"/>
      </tp>
      <tp t="s">
        <v>#N/A Requesting Data...4115347708</v>
        <stp/>
        <stp>BDP|7817792651205133748</stp>
        <tr r="U30" s="338"/>
      </tp>
      <tp t="s">
        <v>#N/A Requesting Data...667063911</v>
        <stp/>
        <stp>BDP|1636158366620394139</stp>
        <tr r="V160" s="89"/>
      </tp>
      <tp t="s">
        <v>#N/A Requesting Data...1272611470</v>
        <stp/>
        <stp>BDP|7130911573469165773</stp>
        <tr r="V223" s="89"/>
        <tr r="AD5" s="2"/>
      </tp>
      <tp t="e">
        <v>#N/A</v>
        <stp/>
        <stp>BDH|4060017640804378371</stp>
        <tr r="AM42" s="338"/>
        <tr r="AM41" s="338"/>
      </tp>
      <tp t="s">
        <v>#N/A Real Time</v>
        <stp/>
        <stp>BDP|11620832164175674151|22</stp>
        <stp>4OX4C    20500 Index</stp>
        <stp>ask</stp>
        <tr r="L108" s="89"/>
      </tp>
      <tp t="s">
        <v>#N/A Real Time</v>
        <stp/>
        <stp>BDP|10405712534118192703|22</stp>
        <stp>3OF5C    22500 Index</stp>
        <stp>ask</stp>
        <tr r="L109" s="89"/>
      </tp>
      <tp>
        <v>238.62</v>
        <stp/>
        <stp>BDP|4344863504285541564|22</stp>
        <stp>AMZN Equity</stp>
        <stp>LAST_PRICE</stp>
        <tr r="I27" s="1"/>
      </tp>
      <tp t="s">
        <v>USD</v>
        <stp/>
        <stp>BDP|14759626085233375357|22</stp>
        <stp>META US 07/17/26 C680 Equity</stp>
        <stp>QUOTED_CURRENCY_REALTIME</stp>
        <tr r="F233" s="89"/>
      </tp>
      <tp t="s">
        <v>#N/A Requesting Data...3221368597</v>
        <stp/>
        <stp>BDP|9478381283761550308</stp>
        <tr r="AD31" s="2"/>
      </tp>
      <tp t="s">
        <v>#N/A Requesting Data...2448974177</v>
        <stp/>
        <stp>BDP|3454753217493992655</stp>
        <tr r="AB52" s="1"/>
        <tr r="AB53" s="1"/>
        <tr r="F36" s="446"/>
      </tp>
      <tp t="s">
        <v>#N/A N/A</v>
        <stp/>
        <stp>BDP|8148908707662517398</stp>
        <tr r="AG29" s="1"/>
        <tr r="AG30" s="1"/>
      </tp>
      <tp t="s">
        <v>#N/A Requesting Data...1046826124</v>
        <stp/>
        <stp>BDP|1189172247476298290</stp>
        <tr r="O7" s="252"/>
      </tp>
      <tp t="s">
        <v>#N/A Requesting Data...691029213</v>
        <stp/>
        <stp>BDP|6955622269271151797</stp>
        <tr r="T4" s="2"/>
      </tp>
      <tp t="e">
        <v>#N/A</v>
        <stp/>
        <stp>BDH|6300508665442857747</stp>
        <tr r="J20" s="252"/>
      </tp>
      <tp t="s">
        <v>#N/A Requesting Data...3660044550</v>
        <stp/>
        <stp>BDP|2073373381748750195</stp>
        <tr r="F25" s="446"/>
      </tp>
      <tp t="e">
        <v>#N/A</v>
        <stp/>
        <stp>BDH|3996147863496127276</stp>
        <tr r="AS32" s="338"/>
        <tr r="AS50" s="338"/>
        <tr r="AS8" s="338"/>
        <tr r="AS46" s="338"/>
      </tp>
      <tp t="s">
        <v>#N/A N/A</v>
        <stp/>
        <stp>BDP|5508729427063936303</stp>
        <tr r="AB51" s="1"/>
      </tp>
      <tp t="s">
        <v>#N/A Requesting Data...3524061720</v>
        <stp/>
        <stp>BDP|1626262929107928698</stp>
        <tr r="O224" s="89"/>
      </tp>
      <tp t="s">
        <v>#N/A Requesting Data...4252575782</v>
        <stp/>
        <stp>BDP|5045073666933003089</stp>
        <tr r="V9" s="338"/>
      </tp>
      <tp t="s">
        <v>#N/A Requesting Data...3992514715</v>
        <stp/>
        <stp>BDP|7131418634293998332</stp>
        <tr r="T15" s="2"/>
      </tp>
      <tp t="s">
        <v>#N/A Requesting Data...953087011</v>
        <stp/>
        <stp>BDP|5247577618786009732</stp>
        <tr r="D197" s="89"/>
      </tp>
      <tp t="s">
        <v>#N/A N/A</v>
        <stp/>
        <stp>BDP|3833608477975887782</stp>
        <tr r="AC9" s="2"/>
      </tp>
      <tp t="s">
        <v>#N/A Requesting Data...1071780411</v>
        <stp/>
        <stp>BDP|5526635939431875188</stp>
        <tr r="AI29" s="338"/>
      </tp>
      <tp t="s">
        <v>#N/A Requesting Data...2537236396</v>
        <stp/>
        <stp>BDP|5959149956824211564</stp>
        <tr r="G38" s="446"/>
      </tp>
      <tp t="s">
        <v>#N/A Requesting Data...1738835688</v>
        <stp/>
        <stp>BDP|4068159799234471848</stp>
        <tr r="Q13" s="338"/>
      </tp>
      <tp t="s">
        <v>#N/A Requesting Data...2616512559</v>
        <stp/>
        <stp>BDP|5381969730908949709</stp>
        <tr r="AD4" s="2"/>
      </tp>
      <tp t="s">
        <v>#N/A Requesting Data...2601671674</v>
        <stp/>
        <stp>BDP|9733097685151622010</stp>
        <tr r="O7" s="89"/>
        <tr r="T20" s="2"/>
      </tp>
      <tp t="s">
        <v>#N/A Requesting Data...1926840983</v>
        <stp/>
        <stp>BDP|8739029094357904654</stp>
        <tr r="O20" s="89"/>
      </tp>
      <tp t="s">
        <v>#N/A Requesting Data...4187157938</v>
        <stp/>
        <stp>BDP|5376386408366731097</stp>
        <tr r="AA50" s="89"/>
        <tr r="Z50" s="89"/>
      </tp>
      <tp t="s">
        <v>#N/A Requesting Data...3964354892</v>
        <stp/>
        <stp>BDP|3572723856414756549</stp>
        <tr r="C222" s="89"/>
      </tp>
      <tp t="s">
        <v>#N/A N/A</v>
        <stp/>
        <stp>BDP|6809118251995947735</stp>
        <tr r="AG17" s="1"/>
        <tr r="AG18" s="1"/>
      </tp>
      <tp t="s">
        <v>#N/A Requesting Data...1373729217</v>
        <stp/>
        <stp>BDP|8781859390611325836</stp>
        <tr r="X12" s="338"/>
      </tp>
      <tp t="s">
        <v>#N/A Requesting Data...3275603670</v>
        <stp/>
        <stp>BDP|4209126284524639902</stp>
        <tr r="AH50" s="338"/>
        <tr r="AH51" s="338"/>
        <tr r="AI34" s="338"/>
        <tr r="AI35" s="338"/>
        <tr r="AI36" s="338"/>
        <tr r="AI37" s="338"/>
        <tr r="AJ50" s="338"/>
        <tr r="AJ51" s="338"/>
        <tr r="AK34" s="338"/>
        <tr r="AK35" s="338"/>
        <tr r="AK36" s="338"/>
        <tr r="AK37" s="338"/>
      </tp>
      <tp t="s">
        <v>#N/A N/A</v>
        <stp/>
        <stp>BDP|3129387768385555361</stp>
        <tr r="AB222" s="89"/>
        <tr r="AB223" s="89"/>
        <tr r="AB224" s="89"/>
        <tr r="AB225" s="89"/>
        <tr r="AQ5" s="2"/>
      </tp>
      <tp t="s">
        <v>#N/A Requesting Data...1038157846</v>
        <stp/>
        <stp>BDP|1324694372333290388</stp>
        <tr r="T212" s="89"/>
      </tp>
      <tp t="s">
        <v>#N/A N/A</v>
        <stp/>
        <stp>BDP|2925650370332906175</stp>
        <tr r="AI40" s="1"/>
        <tr r="AI41" s="1"/>
      </tp>
      <tp t="s">
        <v>#N/A Requesting Data...3577009856</v>
        <stp/>
        <stp>BDP|3960122539301296028</stp>
        <tr r="O170" s="89"/>
      </tp>
      <tp t="e">
        <v>#N/A</v>
        <stp/>
        <stp>BDH|1611037707800663167</stp>
        <tr r="AR54" s="338"/>
      </tp>
      <tp t="s">
        <v>#N/A Requesting Data...3638059631</v>
        <stp/>
        <stp>BDP|8633259957569673610</stp>
        <tr r="AK54" s="338"/>
        <tr r="AI54" s="338"/>
      </tp>
      <tp t="s">
        <v>#N/A N/A</v>
        <stp/>
        <stp>BDP|7661955933295381803</stp>
        <tr r="R129" s="89"/>
      </tp>
      <tp t="s">
        <v>#N/A Requesting Data...549847198</v>
        <stp/>
        <stp>BDP|2469275853951470473</stp>
        <tr r="F25" s="2"/>
      </tp>
      <tp t="s">
        <v>#N/A Requesting Data...1110240923</v>
        <stp/>
        <stp>BDP|4552037620785435316</stp>
        <tr r="P33" s="338"/>
      </tp>
      <tp t="s">
        <v>#N/A Requesting Data...1535332076</v>
        <stp/>
        <stp>BDP|4649895345359151185</stp>
        <tr r="C39" s="89"/>
      </tp>
      <tp t="s">
        <v>#N/A N/A</v>
        <stp/>
        <stp>BDP|8177301223040694940</stp>
        <tr r="AB28" s="1"/>
      </tp>
      <tp t="s">
        <v>#N/A N/A</v>
        <stp/>
        <stp>BDP|2953503061930930113</stp>
        <tr r="AB15" s="1"/>
      </tp>
      <tp t="s">
        <v>#N/A Requesting Data...1332907225</v>
        <stp/>
        <stp>BDP|1912350260220949454</stp>
        <tr r="AJ29" s="338"/>
        <tr r="AJ30" s="338"/>
      </tp>
      <tp t="s">
        <v>#N/A Requesting Data...3986225146</v>
        <stp/>
        <stp>BDP|5137251643354744701</stp>
        <tr r="L36" s="338"/>
        <tr r="H36" s="338"/>
      </tp>
      <tp t="s">
        <v>#N/A Requesting Data...1200633949</v>
        <stp/>
        <stp>BDP|6283111272633911397</stp>
        <tr r="AJ14" s="338"/>
        <tr r="AJ35" s="338"/>
      </tp>
      <tp t="s">
        <v>#N/A Requesting Data...1663291680</v>
        <stp/>
        <stp>BDP|7112967104169217777</stp>
        <tr r="P30" s="338"/>
      </tp>
      <tp t="s">
        <v>#N/A Requesting Data...507094062</v>
        <stp/>
        <stp>BDP|7207851431765010907</stp>
        <tr r="C235" s="89"/>
      </tp>
      <tp t="s">
        <v>#N/A Requesting Data...415517452</v>
        <stp/>
        <stp>BDP|5682063267492381124</stp>
        <tr r="S12" s="338"/>
      </tp>
      <tp t="s">
        <v>#N/A Requesting Data...417906278</v>
        <stp/>
        <stp>BDP|1018734111515407205</stp>
        <tr r="F18" s="252"/>
      </tp>
      <tp t="s">
        <v>#N/A Requesting Data...2245112239</v>
        <stp/>
        <stp>BDP|6900431724734171497</stp>
        <tr r="Q18" s="338"/>
      </tp>
      <tp t="e">
        <v>#N/A</v>
        <stp/>
        <stp>BDH|9309536182114293063</stp>
        <tr r="AN15" s="338"/>
        <tr r="AS40" s="338"/>
        <tr r="AN39" s="338"/>
      </tp>
      <tp t="s">
        <v>#N/A Requesting Data...1545100279</v>
        <stp/>
        <stp>BDP|2847624409581566518</stp>
        <tr r="C205" s="89"/>
        <tr r="D11" s="2"/>
      </tp>
      <tp t="s">
        <v>#N/A Requesting Data...3402250272</v>
        <stp/>
        <stp>BDP|4028930726656593970</stp>
        <tr r="AJ16" s="338"/>
        <tr r="AJ38" s="338"/>
        <tr r="AJ40" s="338"/>
      </tp>
      <tp t="s">
        <v>#N/A N/A</v>
        <stp/>
        <stp>BDP|1006835115128630075</stp>
        <tr r="AQ28" s="2"/>
        <tr r="AQ29" s="2"/>
      </tp>
      <tp t="s">
        <v>#N/A Requesting Data...2249396904</v>
        <stp/>
        <stp>BDP|7529226150318302830</stp>
        <tr r="O186" s="89"/>
      </tp>
      <tp t="s">
        <v>#N/A Requesting Data...2035299817</v>
        <stp/>
        <stp>BDP|1494500509740882420</stp>
        <tr r="D96" s="89"/>
      </tp>
      <tp t="s">
        <v>#N/A Requesting Data...1553551888</v>
        <stp/>
        <stp>BDP|3485044105441809296</stp>
        <tr r="L12" s="338"/>
        <tr r="J12" s="338"/>
      </tp>
      <tp t="s">
        <v>#N/A Requesting Data...843239175</v>
        <stp/>
        <stp>BDP|6637641837380428351</stp>
        <tr r="D89" s="89"/>
      </tp>
      <tp t="s">
        <v>#N/A Requesting Data...4258840263</v>
        <stp/>
        <stp>BDP|2723076874625349028</stp>
        <tr r="M7" s="252"/>
      </tp>
      <tp t="s">
        <v>#N/A Requesting Data...739556570</v>
        <stp/>
        <stp>BDP|4386065153847319607</stp>
        <tr r="C9" s="2"/>
      </tp>
      <tp t="s">
        <v>#N/A Requesting Data...1308441476</v>
        <stp/>
        <stp>BDP|1377734860226121644</stp>
        <tr r="C234" s="89"/>
      </tp>
      <tp>
        <v>19.75</v>
        <stp/>
        <stp>BDP|18330625039410541292|22</stp>
        <stp>AMZN US 07/17/26 C250 Equity</stp>
        <stp>ask</stp>
        <tr r="L234" s="89"/>
      </tp>
      <tp>
        <v>37.299999999999997</v>
        <stp/>
        <stp>BDP|14709653448625040347|22</stp>
        <stp>TSM US 07/17/26 C340 Equity</stp>
        <stp>ask</stp>
        <tr r="L19" s="89"/>
      </tp>
      <tp>
        <v>17.93</v>
        <stp/>
        <stp>BDP|13708122924811862625|22</stp>
        <stp>TSM US 06/18/26 C380 Equity</stp>
        <stp>mid</stp>
        <tr r="L32" s="2"/>
      </tp>
      <tp>
        <v>198.57</v>
        <stp/>
        <stp>BDP|17027429052585223577|22</stp>
        <stp>RSP EQUITY</stp>
        <stp>LAST_PRICE</stp>
        <tr r="L5" s="1"/>
      </tp>
      <tp>
        <v>25417.25</v>
        <stp/>
        <stp>BDP|14300542095671049443|22</stp>
        <stp>2OH6 INDEX</stp>
        <stp>LAST_PRICE</stp>
        <tr r="Z30" s="2"/>
      </tp>
      <tp t="s">
        <v>#N/A Requesting Data...2157790467</v>
        <stp/>
        <stp>BDP|5033376349836196559</stp>
        <tr r="X29" s="338"/>
      </tp>
      <tp t="s">
        <v>#N/A N/A</v>
        <stp/>
        <stp>BDP|6921849179519741196</stp>
        <tr r="AF36" s="1"/>
      </tp>
      <tp t="s">
        <v>#N/A Requesting Data...1456673461</v>
        <stp/>
        <stp>BDP|3552512649496298558</stp>
        <tr r="M14" s="252"/>
      </tp>
      <tp t="s">
        <v>#N/A Requesting Data...1808925171</v>
        <stp/>
        <stp>BDP|6512582705651116331</stp>
        <tr r="C62" s="89"/>
        <tr r="D16" s="2"/>
      </tp>
      <tp t="s">
        <v>#N/A Requesting Data...1013357839</v>
        <stp/>
        <stp>BDP|8548403483194970146</stp>
        <tr r="V55" s="89"/>
      </tp>
      <tp t="s">
        <v>#N/A N/A</v>
        <stp/>
        <stp>BDP|5889104764011396273</stp>
        <tr r="AI49" s="1"/>
        <tr r="AI50" s="1"/>
      </tp>
      <tp t="s">
        <v>#N/A Requesting Data...2601377346</v>
        <stp/>
        <stp>BDP|6573295542270006173</stp>
        <tr r="AA204" s="89"/>
        <tr r="Z204" s="89"/>
      </tp>
      <tp t="s">
        <v>#N/A Requesting Data...930421390</v>
        <stp/>
        <stp>BDP|5256432133392845134</stp>
        <tr r="C101" s="89"/>
      </tp>
      <tp t="e">
        <v>#N/A</v>
        <stp/>
        <stp>BDH|5696689757147514057</stp>
        <tr r="AS42" s="338"/>
      </tp>
      <tp t="s">
        <v>#N/A Requesting Data...3012074069</v>
        <stp/>
        <stp>BDP|7551465529835272566</stp>
        <tr r="N9" s="252"/>
        <tr r="N9" s="252"/>
      </tp>
      <tp t="s">
        <v>#N/A Requesting Data...2132764423</v>
        <stp/>
        <stp>BDP|1897815793981176051</stp>
        <tr r="AR15" s="2"/>
      </tp>
      <tp t="e">
        <v>#N/A</v>
        <stp/>
        <stp>BDH|8594836933710961229</stp>
        <tr r="AR45" s="338"/>
      </tp>
      <tp t="s">
        <v>#N/A Requesting Data...2230950041</v>
        <stp/>
        <stp>BDP|2606386682968637055</stp>
        <tr r="D28" s="2"/>
        <tr r="D29" s="2"/>
      </tp>
      <tp t="s">
        <v>#N/A Requesting Data...1008022465</v>
        <stp/>
        <stp>BDP|8728351878839134440</stp>
        <tr r="AH50" s="338"/>
        <tr r="AH51" s="338"/>
        <tr r="AI34" s="338"/>
        <tr r="AI35" s="338"/>
        <tr r="AI36" s="338"/>
        <tr r="AI37" s="338"/>
      </tp>
      <tp t="s">
        <v>#N/A Requesting Data...3900395500</v>
        <stp/>
        <stp>BDP|7601159166158268985</stp>
        <tr r="S16" s="252"/>
      </tp>
      <tp t="s">
        <v>#N/A Requesting Data...2910845296</v>
        <stp/>
        <stp>BDP|3235511292777879969</stp>
        <tr r="X11" s="338"/>
      </tp>
      <tp t="s">
        <v>#N/A Requesting Data...3766249644</v>
        <stp/>
        <stp>BDP|4347376869088623847</stp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Data...1796709021</v>
        <stp/>
        <stp>BDP|1748256233439783899</stp>
        <tr r="T15" s="338"/>
        <tr r="T39" s="338"/>
      </tp>
      <tp t="e">
        <v>#N/A</v>
        <stp/>
        <stp>BDH|2757703128074411240</stp>
        <tr r="AN31" s="338"/>
        <tr r="AN32" s="338"/>
      </tp>
      <tp t="s">
        <v>#N/A Requesting Data...4057555250</v>
        <stp/>
        <stp>BDP|7660636101386198693</stp>
        <tr r="P15" s="338"/>
        <tr r="P39" s="338"/>
      </tp>
      <tp t="s">
        <v>#N/A Requesting Data...3177500475</v>
        <stp/>
        <stp>BDP|8463094131499939398</stp>
        <tr r="X18" s="338"/>
      </tp>
      <tp t="s">
        <v>#N/A Requesting Data...482413832</v>
        <stp/>
        <stp>BDP|7404929821424807933</stp>
        <tr r="L16" s="338"/>
        <tr r="H16" s="338"/>
        <tr r="L38" s="338"/>
        <tr r="H38" s="338"/>
        <tr r="L40" s="338"/>
        <tr r="H40" s="338"/>
      </tp>
      <tp t="s">
        <v>#N/A Requesting Data...996380250</v>
        <stp/>
        <stp>BDP|4539099601905635071</stp>
        <tr r="O20" s="252"/>
      </tp>
      <tp t="s">
        <v>#N/A N/A</v>
        <stp/>
        <stp>BDP|7860267098129973432</stp>
        <tr r="R109" s="89"/>
      </tp>
      <tp t="s">
        <v>#N/A Requesting Data...3225437127</v>
        <stp/>
        <stp>BDP|6241899226908646569</stp>
        <tr r="D42" s="446"/>
      </tp>
      <tp t="s">
        <v>#N/A Requesting Data...3392770991</v>
        <stp/>
        <stp>BDP|9471140668958223775</stp>
        <tr r="V40" s="89"/>
      </tp>
      <tp t="s">
        <v>#N/A N/A</v>
        <stp/>
        <stp>BDP|6270526114126903508</stp>
        <tr r="AB7" s="89"/>
        <tr r="AB8" s="89"/>
        <tr r="AQ20" s="2"/>
        <tr r="AQ21" s="2"/>
      </tp>
      <tp t="s">
        <v>#N/A Requesting Data...2166037479</v>
        <stp/>
        <stp>BDP|2974198673022627786</stp>
        <tr r="AK48" s="338"/>
        <tr r="AK49" s="338"/>
      </tp>
      <tp t="s">
        <v>#N/A Requesting Data...4059769285</v>
        <stp/>
        <stp>BDP|5183368778820171035</stp>
        <tr r="F45" s="446"/>
      </tp>
      <tp t="s">
        <v>#N/A Requesting Data...1733908184</v>
        <stp/>
        <stp>BDP|6484730828131244307</stp>
        <tr r="V26" s="89"/>
      </tp>
      <tp t="s">
        <v>#N/A Requesting Data...2749982265</v>
        <stp/>
        <stp>BDP|5678783394829319341</stp>
        <tr r="F32" s="2"/>
      </tp>
      <tp t="s">
        <v>#N/A Requesting Data...3544266684</v>
        <stp/>
        <stp>BDP|1262171058993428748</stp>
        <tr r="AA30" s="2"/>
      </tp>
      <tp t="s">
        <v>#N/A Requesting Data...493406368</v>
        <stp/>
        <stp>BDP|7731723300049141892</stp>
        <tr r="T187" s="89"/>
      </tp>
      <tp t="s">
        <v>#N/A N/A</v>
        <stp/>
        <stp>BDP|5223714776062803600</stp>
        <tr r="AC13" s="1"/>
      </tp>
      <tp t="s">
        <v>#N/A Requesting Data...1762163035</v>
        <stp/>
        <stp>BDP|3142121838040986004</stp>
        <tr r="T40" s="89"/>
      </tp>
      <tp t="s">
        <v>#N/A Requesting Data...1431371298</v>
        <stp/>
        <stp>BDP|3632340523775049631</stp>
        <tr r="D39" s="89"/>
      </tp>
      <tp t="s">
        <v>#N/A Requesting Data...754764610</v>
        <stp/>
        <stp>BDP|7603021556517835487</stp>
        <tr r="AH52" s="338"/>
        <tr r="AH53" s="338"/>
        <tr r="AH54" s="338"/>
      </tp>
      <tp t="s">
        <v>#N/A Requesting Data...2158871943</v>
        <stp/>
        <stp>BDP|4388333855843269056</stp>
        <tr r="P10" s="252"/>
      </tp>
      <tp t="s">
        <v>#N/A Requesting Data...1616656815</v>
        <stp/>
        <stp>BDP|1839887775176402936</stp>
        <tr r="T22" s="2"/>
      </tp>
      <tp t="s">
        <v>#N/A Requesting Data...492865199</v>
        <stp/>
        <stp>BDP|3634455751272018107</stp>
        <tr r="G40" s="446"/>
      </tp>
      <tp t="s">
        <v>#N/A N/A</v>
        <stp/>
        <stp>BDP|9299015762239453779</stp>
        <tr r="R144" s="89"/>
        <tr r="R145" s="89"/>
      </tp>
      <tp t="s">
        <v>#N/A Requesting Data...3517496422</v>
        <stp/>
        <stp>BDP|2790133807587110508</stp>
        <tr r="O10" s="252"/>
      </tp>
      <tp t="s">
        <v>#N/A Requesting Data...1134539505</v>
        <stp/>
        <stp>BDP|7513670475916134150</stp>
        <tr r="AG18" s="338"/>
      </tp>
      <tp t="s">
        <v>#N/A N/A</v>
        <stp/>
        <stp>BDP|9633924773914414208</stp>
        <tr r="AC4" s="2"/>
      </tp>
      <tp t="s">
        <v>#N/A Requesting Data...831848871</v>
        <stp/>
        <stp>BDP|3866297539956172597</stp>
        <tr r="Q14" s="338"/>
      </tp>
      <tp t="s">
        <v>#N/A Requesting Data...1394877976</v>
        <stp/>
        <stp>BDP|9843491038236897916</stp>
        <tr r="C20" s="89"/>
      </tp>
      <tp t="s">
        <v>#N/A N/A</v>
        <stp/>
        <stp>BDP|9739406253298596110</stp>
        <tr r="AI24" s="1"/>
      </tp>
      <tp t="e">
        <v>#N/A</v>
        <stp/>
        <stp>BDH|2928602525095945254</stp>
        <tr r="AS30" s="338"/>
      </tp>
      <tp t="e">
        <v>#N/A</v>
        <stp/>
        <stp>BDH|2062254640615398060</stp>
        <tr r="AR9" s="338"/>
      </tp>
      <tp t="s">
        <v>#N/A N/A</v>
        <stp/>
        <stp>BDP|1821230040030393694</stp>
        <tr r="AB62" s="89"/>
        <tr r="AB63" s="89"/>
        <tr r="AQ14" s="2"/>
        <tr r="AQ15" s="2"/>
        <tr r="AQ16" s="2"/>
        <tr r="AQ17" s="2"/>
        <tr r="AQ18" s="2"/>
        <tr r="AQ19" s="2"/>
      </tp>
      <tp t="s">
        <v>#N/A Requesting Data...2769833288</v>
        <stp/>
        <stp>BDP|6324014549174281781</stp>
        <tr r="L31" s="338"/>
        <tr r="H31" s="338"/>
        <tr r="L32" s="338"/>
        <tr r="H32" s="338"/>
      </tp>
      <tp t="s">
        <v>#N/A N/A</v>
        <stp/>
        <stp>BDP|8968284987484412739</stp>
        <tr r="AB19" s="89"/>
        <tr r="AB20" s="89"/>
        <tr r="AQ31" s="2"/>
        <tr r="AQ32" s="2"/>
      </tp>
      <tp t="s">
        <v>#N/A Requesting Data...1659232577</v>
        <stp/>
        <stp>BDP|8707806237397902583</stp>
        <tr r="S11" s="252"/>
      </tp>
      <tp t="e">
        <v>#N/A</v>
        <stp/>
        <stp>BDH|8929588442209030126</stp>
        <tr r="AM11" s="338"/>
        <tr r="AM33" s="338"/>
        <tr r="AM10" s="338"/>
      </tp>
      <tp t="s">
        <v>#N/A Requesting Data...2609826438</v>
        <stp/>
        <stp>BDP|9939228331380883944</stp>
        <tr r="G11" s="446"/>
      </tp>
      <tp t="s">
        <v>#N/A Requesting Data...2430776232</v>
        <stp/>
        <stp>BDP|2267087599569280367</stp>
        <tr r="P34" s="338"/>
      </tp>
      <tp t="s">
        <v>#N/A Requesting Data...4198581467</v>
        <stp/>
        <stp>BDP|2620429521461757456</stp>
        <tr r="AK42" s="338"/>
      </tp>
      <tp t="s">
        <v>#N/A N/A</v>
        <stp/>
        <stp>BDP|6196916285503766559</stp>
        <tr r="K25" s="1"/>
      </tp>
      <tp t="s">
        <v>#N/A Requesting Data...2548338813</v>
        <stp/>
        <stp>BDP|7066346967523510010</stp>
        <tr r="U9" s="338"/>
      </tp>
      <tp t="s">
        <v>#N/A N/A</v>
        <stp/>
        <stp>BDP|6497440232258298876</stp>
        <tr r="AF13" s="1"/>
      </tp>
      <tp t="s">
        <v>#N/A N/A</v>
        <stp/>
        <stp>BDP|4387077451867676775</stp>
        <tr r="K58" s="1"/>
      </tp>
      <tp t="s">
        <v>#N/A Requesting Data...2900705876</v>
        <stp/>
        <stp>BDP|4309165367065469727</stp>
        <tr r="E26" s="2"/>
        <tr r="E27" s="2"/>
      </tp>
      <tp t="e">
        <v>#N/A</v>
        <stp/>
        <stp>BDH|6019834051973095961</stp>
        <tr r="AN33" s="338"/>
        <tr r="AN11" s="338"/>
        <tr r="AN10" s="338"/>
      </tp>
      <tp t="s">
        <v>#N/A Requesting Data...3487976636</v>
        <stp/>
        <stp>BDP|7361061810540035705</stp>
        <tr r="T8" s="89"/>
        <tr r="AA21" s="2"/>
      </tp>
      <tp>
        <v>5.35</v>
        <stp/>
        <stp>BDP|118569511771704697|22</stp>
        <stp>INTC US 07/17/26 C60 Equity</stp>
        <stp>ask</stp>
        <tr r="Q24" s="2"/>
        <tr r="L195" s="89"/>
      </tp>
      <tp>
        <v>-39.057727813720703</v>
        <stp/>
        <stp>BDP|10116339062259330210|22</stp>
        <stp>1OG6P 25750 INDEX</stp>
        <stp>theta_mid_rt</stp>
        <tr r="AN28" s="2"/>
        <tr r="AN29" s="2"/>
      </tp>
      <tp t="e">
        <v>#N/A</v>
        <stp/>
        <stp>BDH|6738474066391527793</stp>
        <tr r="AM16" s="338"/>
        <tr r="AM40" s="338"/>
        <tr r="AM38" s="338"/>
      </tp>
      <tp t="s">
        <v>#N/A Requesting Data...1112807612</v>
        <stp/>
        <stp>BDP|6219652639352291374</stp>
        <tr r="D55" s="89"/>
      </tp>
      <tp t="s">
        <v>#N/A Requesting Data...2964039961</v>
        <stp/>
        <stp>BDP|7964758820092579227</stp>
        <tr r="AJ52" s="338"/>
        <tr r="AJ53" s="338"/>
        <tr r="AJ54" s="338"/>
      </tp>
      <tp t="s">
        <v>#N/A Requesting Data...1353006068</v>
        <stp/>
        <stp>BDP|7860310106547363177</stp>
        <tr r="AA180" s="89"/>
        <tr r="Z180" s="89"/>
      </tp>
      <tp t="s">
        <v>#N/A Requesting Data...1794980930</v>
        <stp/>
        <stp>BDP|9060205111721083990</stp>
        <tr r="AI48" s="338"/>
        <tr r="AI49" s="338"/>
        <tr r="AK48" s="338"/>
        <tr r="AK49" s="338"/>
      </tp>
      <tp t="s">
        <v>#N/A Requesting Data...1908117619</v>
        <stp/>
        <stp>BDP|8644058243408809607</stp>
        <tr r="V49" s="338"/>
      </tp>
      <tp t="s">
        <v>#N/A Requesting Data...1160219257</v>
        <stp/>
        <stp>BDP|2721287269476965276</stp>
        <tr r="V35" s="338"/>
      </tp>
      <tp t="s">
        <v>#N/A Requesting Data...3297161818</v>
        <stp/>
        <stp>BDP|1927755561564288678</stp>
        <tr r="G45" s="446"/>
      </tp>
      <tp t="s">
        <v>#N/A Requesting Data...1230659828</v>
        <stp/>
        <stp>BDP|3284843281913962260</stp>
        <tr r="C5" s="2"/>
      </tp>
      <tp t="s">
        <v>#N/A Requesting Data...1000867899</v>
        <stp/>
        <stp>BDP|5871188314703840456</stp>
        <tr r="L11" s="338"/>
        <tr r="J11" s="338"/>
      </tp>
      <tp t="s">
        <v>#N/A Requesting Data...3205494799</v>
        <stp/>
        <stp>BDP|5728718823292467081</stp>
        <tr r="L12" s="1"/>
        <tr r="L13" s="1"/>
        <tr r="L14" s="1"/>
        <tr r="L15" s="1"/>
        <tr r="L16" s="1"/>
        <tr r="L17" s="1"/>
        <tr r="L19" s="1"/>
        <tr r="L20" s="1"/>
        <tr r="L21" s="1"/>
        <tr r="L22" s="1"/>
        <tr r="L23" s="1"/>
        <tr r="L24" s="1"/>
        <tr r="L25" s="1"/>
        <tr r="L26" s="1"/>
        <tr r="L27" s="1"/>
        <tr r="L28" s="1"/>
        <tr r="L29" s="1"/>
        <tr r="L30" s="1"/>
        <tr r="L31" s="1"/>
        <tr r="L32" s="1"/>
        <tr r="L33" s="1"/>
        <tr r="L34" s="1"/>
        <tr r="L38" s="1"/>
        <tr r="L39" s="1"/>
        <tr r="L40" s="1"/>
        <tr r="L41" s="1"/>
        <tr r="L42" s="1"/>
        <tr r="L43" s="1"/>
        <tr r="L44" s="1"/>
        <tr r="L45" s="1"/>
        <tr r="L46" s="1"/>
        <tr r="L47" s="1"/>
        <tr r="L49" s="1"/>
        <tr r="L50" s="1"/>
        <tr r="L51" s="1"/>
        <tr r="L52" s="1"/>
        <tr r="L53" s="1"/>
        <tr r="L54" s="1"/>
        <tr r="L55" s="1"/>
        <tr r="L56" s="1"/>
        <tr r="L57" s="1"/>
        <tr r="L58" s="1"/>
        <tr r="L59" s="1"/>
        <tr r="L60" s="1"/>
        <tr r="L61" s="1"/>
        <tr r="L62" s="1"/>
        <tr r="L18" s="1"/>
        <tr r="L48" s="1"/>
        <tr r="N81" s="89"/>
        <tr r="S6" s="2"/>
        <tr r="S7" s="2"/>
        <tr r="N101" s="89"/>
        <tr r="N102" s="89"/>
        <tr r="N13" s="89"/>
        <tr r="N14" s="89"/>
        <tr r="N153" s="89"/>
        <tr r="N154" s="89"/>
        <tr r="N160" s="89"/>
        <tr r="N169" s="89"/>
        <tr r="N170" s="89"/>
        <tr r="N171" s="89"/>
        <tr r="N180" s="89"/>
        <tr r="N186" s="89"/>
        <tr r="N187" s="89"/>
        <tr r="N188" s="89"/>
        <tr r="N19" s="89"/>
        <tr r="N195" s="89"/>
        <tr r="N196" s="89"/>
        <tr r="N197" s="89"/>
        <tr r="N20" s="89"/>
        <tr r="N204" s="89"/>
        <tr r="N205" s="89"/>
        <tr r="N211" s="89"/>
        <tr r="N212" s="89"/>
        <tr r="N213" s="89"/>
        <tr r="N222" s="89"/>
        <tr r="N223" s="89"/>
        <tr r="N224" s="89"/>
        <tr r="N225" s="89"/>
        <tr r="N233" s="89"/>
        <tr r="N234" s="89"/>
        <tr r="N235" s="89"/>
        <tr r="N236" s="89"/>
        <tr r="N237" s="89"/>
        <tr r="N27" s="89"/>
        <tr r="N33" s="89"/>
        <tr r="N34" s="89"/>
        <tr r="N39" s="89"/>
        <tr r="N40" s="89"/>
        <tr r="N49" s="89"/>
        <tr r="N50" s="89"/>
        <tr r="N62" s="89"/>
        <tr r="N63" s="89"/>
        <tr r="N7" s="89"/>
        <tr r="N75" s="89"/>
        <tr r="N76" s="89"/>
        <tr r="N8" s="89"/>
        <tr r="N82" s="89"/>
        <tr r="N95" s="89"/>
        <tr r="S10" s="2"/>
        <tr r="S11" s="2"/>
        <tr r="S12" s="2"/>
        <tr r="S13" s="2"/>
        <tr r="S14" s="2"/>
        <tr r="S15" s="2"/>
        <tr r="S16" s="2"/>
        <tr r="S17" s="2"/>
        <tr r="S18" s="2"/>
        <tr r="S19" s="2"/>
        <tr r="S20" s="2"/>
        <tr r="S21" s="2"/>
        <tr r="S22" s="2"/>
        <tr r="S23" s="2"/>
        <tr r="S24" s="2"/>
        <tr r="S25" s="2"/>
        <tr r="S26" s="2"/>
        <tr r="S27" s="2"/>
        <tr r="S28" s="2"/>
        <tr r="S29" s="2"/>
        <tr r="S30" s="2"/>
        <tr r="S31" s="2"/>
        <tr r="S32" s="2"/>
        <tr r="S4" s="2"/>
        <tr r="S5" s="2"/>
        <tr r="S8" s="2"/>
        <tr r="S9" s="2"/>
      </tp>
      <tp t="s">
        <v>#N/A Requesting Data...4036743618</v>
        <stp/>
        <stp>BDP|3004009559840185419</stp>
        <tr r="O205" s="89"/>
        <tr r="T11" s="2"/>
      </tp>
      <tp t="s">
        <v>#N/A Requesting Data...3146872535</v>
        <stp/>
        <stp>BDP|5145625159843494775</stp>
        <tr r="P10" s="338"/>
      </tp>
      <tp t="s">
        <v>#N/A Requesting Data...3585884656</v>
        <stp/>
        <stp>BDP|5676239072204174683</stp>
        <tr r="AA233" s="89"/>
        <tr r="Z233" s="89"/>
      </tp>
      <tp t="s">
        <v>#N/A Requesting Data...3528209956</v>
        <stp/>
        <stp>BDP|4413248519100279551</stp>
        <tr r="AD8" s="2"/>
      </tp>
      <tp t="s">
        <v>#N/A Requesting Data...2538303182</v>
        <stp/>
        <stp>BDP|9919677548080032985</stp>
        <tr r="G44" s="446"/>
      </tp>
      <tp t="s">
        <v>#N/A Requesting Data...1618448314</v>
        <stp/>
        <stp>BDP|3371693940045698635</stp>
        <tr r="V123" s="89"/>
      </tp>
      <tp t="s">
        <v>#N/A Requesting Data...2190116283</v>
        <stp/>
        <stp>BDP|8428913731466273690</stp>
        <tr r="L8" s="252"/>
        <tr r="L8" s="252"/>
      </tp>
      <tp t="s">
        <v>#N/A Requesting Data...1296996494</v>
        <stp/>
        <stp>BDP|6223131064210098392</stp>
        <tr r="V14" s="338"/>
      </tp>
      <tp t="s">
        <v>#N/A N/A</v>
        <stp/>
        <stp>BDP|3289149679383755445</stp>
        <tr r="AC42" s="1"/>
        <tr r="AC43" s="1"/>
      </tp>
      <tp t="s">
        <v>#N/A Requesting Data...1134886701</v>
        <stp/>
        <stp>BDP|5711442923249525894</stp>
        <tr r="C50" s="89"/>
      </tp>
      <tp t="s">
        <v>#N/A Requesting Data...2941100233</v>
        <stp/>
        <stp>BDP|3910223521378009966</stp>
        <tr r="N11" s="252"/>
        <tr r="N11" s="252"/>
      </tp>
      <tp t="s">
        <v>#N/A Requesting Data...1964604895</v>
        <stp/>
        <stp>BDP|5024341343609931931</stp>
        <tr r="AJ41" s="338"/>
        <tr r="AJ42" s="338"/>
      </tp>
      <tp t="s">
        <v>#N/A Requesting Data...1590371878</v>
        <stp/>
        <stp>BDP|2109542547769740886</stp>
        <tr r="AI29" s="338"/>
        <tr r="AK29" s="338"/>
      </tp>
      <tp t="s">
        <v>#N/A Requesting Data...3811195090</v>
        <stp/>
        <stp>BDP|3213171497998766175</stp>
        <tr r="E69" s="89"/>
      </tp>
      <tp t="s">
        <v>#N/A N/A</v>
        <stp/>
        <stp>BDP|6172070853435387447</stp>
        <tr r="AB46" s="1"/>
        <tr r="AB47" s="1"/>
        <tr r="AB48" s="1"/>
      </tp>
      <tp t="s">
        <v>#N/A Requesting Data...3403062079</v>
        <stp/>
        <stp>BDP|4636653477250550732</stp>
        <tr r="G31" s="446"/>
      </tp>
      <tp t="s">
        <v>#N/A N/A</v>
        <stp/>
        <stp>BDP|5714451203842663158</stp>
        <tr r="N8" s="1"/>
      </tp>
      <tp t="s">
        <v>#N/A Requesting Data...2688581442</v>
        <stp/>
        <stp>BDP|6639649066161548527</stp>
        <tr r="AA19" s="2"/>
      </tp>
      <tp t="s">
        <v>#N/A Requesting Data...3405296207</v>
        <stp/>
        <stp>BDP|4880433377190901556</stp>
        <tr r="E115" s="89"/>
      </tp>
      <tp t="s">
        <v>#N/A Requesting Data...1214589438</v>
        <stp/>
        <stp>BDP|2461221557186208139</stp>
        <tr r="C187" s="89"/>
      </tp>
      <tp t="s">
        <v>#N/A N/A</v>
        <stp/>
        <stp>BDP|8063366356299445552</stp>
        <tr r="K42" s="1"/>
      </tp>
      <tp t="s">
        <v>#N/A Requesting Data...3292994981</v>
        <stp/>
        <stp>BDP|4772481059877400045</stp>
        <tr r="C33" s="89"/>
      </tp>
      <tp t="s">
        <v>#N/A Requesting Data...3587930528</v>
        <stp/>
        <stp>BDP|3519061147724655148</stp>
        <tr r="AJ31" s="338"/>
        <tr r="AJ32" s="338"/>
      </tp>
      <tp t="s">
        <v>#N/A Requesting Data...3027542735</v>
        <stp/>
        <stp>BDP|9125333988758543887</stp>
        <tr r="AJ17" s="338"/>
        <tr r="AJ18" s="338"/>
      </tp>
      <tp t="s">
        <v>#N/A Requesting Data...3563959609</v>
        <stp/>
        <stp>BDP|7289119458332502394</stp>
        <tr r="O26" s="89"/>
      </tp>
      <tp t="s">
        <v>#N/A Requesting Data...3751554778</v>
        <stp/>
        <stp>BDP|3704402235085322359</stp>
        <tr r="AA8" s="89"/>
        <tr r="Z8" s="89"/>
      </tp>
      <tp t="s">
        <v>#N/A Requesting Data...1677510606</v>
        <stp/>
        <stp>BDP|7134890756011396990</stp>
        <tr r="L45" s="338"/>
        <tr r="J45" s="338"/>
      </tp>
      <tp t="s">
        <v>#N/A Requesting Data...2566363210</v>
        <stp/>
        <stp>BDP|2307633905712170406</stp>
        <tr r="P46" s="338"/>
      </tp>
      <tp t="s">
        <v>#N/A Requesting Data...3479057394</v>
        <stp/>
        <stp>BDP|1745105964653097761</stp>
        <tr r="E26" s="89"/>
      </tp>
      <tp t="s">
        <v>#N/A Requesting Data...1548838058</v>
        <stp/>
        <stp>BDP|3773131274556681138</stp>
        <tr r="E213" s="89"/>
      </tp>
      <tp t="e">
        <v>#N/A</v>
        <stp/>
        <stp>BDH|6895513104452078386</stp>
        <tr r="AR49" s="338"/>
        <tr r="AR48" s="338"/>
      </tp>
      <tp>
        <v>9.1</v>
        <stp/>
        <stp>BDP|16278285412802013296|22</stp>
        <stp>MSFT US 02/20/26 P410 Equity</stp>
        <stp>ask</stp>
        <tr r="L213" s="89"/>
      </tp>
      <tp t="s">
        <v>#N/A Real Time</v>
        <stp/>
        <stp>BDP|7002617886444187304|22</stp>
        <stp>RUWZ5 Index</stp>
        <stp>LAST_PRICE</stp>
        <tr r="S144" s="89"/>
        <tr r="S145" s="89"/>
      </tp>
      <tp>
        <v>25418.5</v>
        <stp/>
        <stp>BDP|14594273167499033517|22</stp>
        <stp>1OH6 INDEX</stp>
        <stp>LAST_PRICE</stp>
        <tr r="Z28" s="2"/>
        <tr r="Z29" s="2"/>
      </tp>
      <tp>
        <v>415.75</v>
        <stp/>
        <stp>BDP|3522296436653876589|22</stp>
        <stp>1OG6P 25750 INDEX</stp>
        <stp>mid</stp>
        <tr r="L28" s="2"/>
        <tr r="L29" s="2"/>
      </tp>
      <tp t="s">
        <v>#N/A N/A</v>
        <stp/>
        <stp>BDP|4669365388388290407</stp>
        <tr r="N5" s="1"/>
      </tp>
      <tp t="e">
        <v>#N/A</v>
        <stp/>
        <stp>BDH|8943892348966776153</stp>
        <tr r="AU48" s="338"/>
        <tr r="AU49" s="338"/>
      </tp>
      <tp t="s">
        <v>#N/A Requesting Data...2776123425</v>
        <stp/>
        <stp>BDP|1294995983457020437</stp>
        <tr r="E222" s="89"/>
      </tp>
      <tp t="s">
        <v>#N/A Requesting Data...2426855034</v>
        <stp/>
        <stp>BDP|2591422732557732191</stp>
        <tr r="L13" s="338"/>
        <tr r="H13" s="338"/>
        <tr r="L34" s="338"/>
        <tr r="H34" s="338"/>
      </tp>
      <tp t="s">
        <v>#N/A N/A</v>
        <stp/>
        <stp>BDP|2000559898458006561</stp>
        <tr r="K28" s="1"/>
      </tp>
      <tp t="s">
        <v>#N/A Requesting Data...3110577535</v>
        <stp/>
        <stp>BDP|7919916036548158668</stp>
        <tr r="AI9" s="338"/>
        <tr r="AK9" s="338"/>
      </tp>
      <tp t="s">
        <v>#N/A Requesting Data...2479199485</v>
        <stp/>
        <stp>BDP|5970596063913968630</stp>
        <tr r="AG30" s="338"/>
      </tp>
      <tp t="s">
        <v>#N/A Requesting Data...704830132</v>
        <stp/>
        <stp>BDP|7170630364126625297</stp>
        <tr r="S52" s="338"/>
      </tp>
      <tp t="s">
        <v>#N/A N/A</v>
        <stp/>
        <stp>BDP|7115677759757668004</stp>
        <tr r="AC54" s="1"/>
        <tr r="AC55" s="1"/>
      </tp>
      <tp t="s">
        <v>#N/A Requesting Data...1596221638</v>
        <stp/>
        <stp>BDP|9650691833746681940</stp>
        <tr r="Q35" s="338"/>
      </tp>
      <tp t="s">
        <v>#N/A Requesting Data...1846446539</v>
        <stp/>
        <stp>BDP|3754293213215371607</stp>
        <tr r="F5" s="446"/>
        <tr r="F6" s="446"/>
      </tp>
      <tp t="s">
        <v>#N/A Requesting Data...2371682282</v>
        <stp/>
        <stp>BDP|2213180314153111209</stp>
        <tr r="AF19" s="1"/>
        <tr r="AF20" s="1"/>
        <tr r="AG15" s="338"/>
        <tr r="AG16" s="338"/>
        <tr r="AG17" s="338"/>
        <tr r="AG38" s="338"/>
        <tr r="AG39" s="338"/>
        <tr r="AG44" s="338"/>
        <tr r="AG52" s="338"/>
      </tp>
      <tp t="s">
        <v>#N/A Requesting Data...1962214186</v>
        <stp/>
        <stp>BDP|6716369783157547983</stp>
        <tr r="V234" s="89"/>
      </tp>
      <tp t="s">
        <v>#N/A N/A</v>
        <stp/>
        <stp>BDP|9588206623063881918</stp>
        <tr r="AF51" s="1"/>
      </tp>
      <tp t="s">
        <v>#N/A Requesting Data...4177401402</v>
        <stp/>
        <stp>BDP|7360582975363056511</stp>
        <tr r="AA211" s="89"/>
        <tr r="Z211" s="89"/>
      </tp>
      <tp t="s">
        <v>#N/A Requesting Data...1798104049</v>
        <stp/>
        <stp>BDP|9390709548618762108</stp>
        <tr r="N6" s="252"/>
        <tr r="N6" s="252"/>
      </tp>
      <tp t="s">
        <v>#N/A Requesting Data...3375840359</v>
        <stp/>
        <stp>BDP|7796453577674837314</stp>
        <tr r="U44" s="338"/>
      </tp>
      <tp t="s">
        <v>#N/A Requesting Data...3619259973</v>
        <stp/>
        <stp>BDP|7961266924697349349</stp>
        <tr r="X36" s="338"/>
      </tp>
      <tp t="s">
        <v>#N/A Requesting Data...3770595645</v>
        <stp/>
        <stp>BDP|7659781264157478228</stp>
        <tr r="D95" s="89"/>
      </tp>
      <tp t="s">
        <v>#N/A Requesting Data...2418778657</v>
        <stp/>
        <stp>BDP|7777047645317887721</stp>
        <tr r="V145" s="89"/>
      </tp>
      <tp t="s">
        <v>#N/A Requesting Data...852517861</v>
        <stp/>
        <stp>BDP|2793585885519216544</stp>
        <tr r="L19" s="252"/>
        <tr r="L19" s="252"/>
      </tp>
      <tp t="s">
        <v>#N/A Requesting Data...3427206643</v>
        <stp/>
        <stp>BDP|6656321318004406344</stp>
        <tr r="AA76" s="89"/>
        <tr r="Z76" s="89"/>
      </tp>
      <tp t="s">
        <v>#N/A Requesting Data...4027738577</v>
        <stp/>
        <stp>BDP|8230930209200509213</stp>
        <tr r="X30" s="338"/>
      </tp>
      <tp t="e">
        <v>#N/A</v>
        <stp/>
        <stp>BDH|4586285456034382446</stp>
        <tr r="AN30" s="338"/>
        <tr r="AN29" s="338"/>
      </tp>
      <tp t="s">
        <v>#N/A Requesting Data...1172446744</v>
        <stp/>
        <stp>BDP|2987243114927275566</stp>
        <tr r="E63" s="89"/>
      </tp>
      <tp t="s">
        <v>#N/A Requesting Data...919762536</v>
        <stp/>
        <stp>BDP|9739316558495716945</stp>
        <tr r="T9" s="2"/>
      </tp>
      <tp t="s">
        <v>#N/A N/A</v>
        <stp/>
        <stp>BDP|2768115106652017228</stp>
        <tr r="AI17" s="1"/>
        <tr r="AI18" s="1"/>
      </tp>
      <tp t="s">
        <v>#N/A Requesting Data...1044469375</v>
        <stp/>
        <stp>BDP|6169555274102368514</stp>
        <tr r="S10" s="338"/>
      </tp>
      <tp t="s">
        <v>#N/A Requesting Data...1542704860</v>
        <stp/>
        <stp>BDP|2465258476870377467</stp>
        <tr r="AA122" s="89"/>
        <tr r="Z122" s="89"/>
      </tp>
      <tp t="s">
        <v>#N/A Requesting Data...2606421652</v>
        <stp/>
        <stp>BDP|7338316650887601574</stp>
        <tr r="T75" s="89"/>
      </tp>
      <tp t="s">
        <v>#N/A Requesting Data...2171946322</v>
        <stp/>
        <stp>BDP|8020332285295353568</stp>
        <tr r="P32" s="338"/>
      </tp>
      <tp t="s">
        <v>#N/A Requesting Data...703746024</v>
        <stp/>
        <stp>BDP|6376778446973934587</stp>
        <tr r="V186" s="89"/>
      </tp>
      <tp t="s">
        <v>#N/A Requesting Data...848491085</v>
        <stp/>
        <stp>BDP|2434188206592879222</stp>
        <tr r="F12" s="2"/>
        <tr r="F13" s="2"/>
      </tp>
      <tp t="s">
        <v>#N/A Requesting Data...3716161115</v>
        <stp/>
        <stp>BDP|1486674387064710827</stp>
        <tr r="AH55" s="338"/>
        <tr r="AI14" s="338"/>
        <tr r="AI55" s="338"/>
        <tr r="AJ55" s="338"/>
        <tr r="AK14" s="338"/>
        <tr r="AK55" s="338"/>
      </tp>
      <tp t="s">
        <v>#N/A Requesting Data...1129373712</v>
        <stp/>
        <stp>BDP|5888175656914033689</stp>
        <tr r="AA31" s="2"/>
      </tp>
      <tp t="s">
        <v>#N/A Requesting Data...833538263</v>
        <stp/>
        <stp>BDP|1111234221652305017</stp>
        <tr r="AD9" s="2"/>
      </tp>
      <tp t="s">
        <v>#N/A Requesting Data...1245153661</v>
        <stp/>
        <stp>BDP|6109913190467097261</stp>
        <tr r="AF33" s="1"/>
        <tr r="AF34" s="1"/>
        <tr r="AG32" s="338"/>
        <tr r="AG46" s="338"/>
        <tr r="AG50" s="338"/>
        <tr r="AG8" s="338"/>
      </tp>
      <tp t="s">
        <v>#N/A Requesting Data...696693855</v>
        <stp/>
        <stp>BDP|5764387578793708167</stp>
        <tr r="M20" s="252"/>
      </tp>
      <tp t="s">
        <v>#N/A N/A</v>
        <stp/>
        <stp>BDP|6515604110606525460</stp>
        <tr r="AC61" s="1"/>
      </tp>
      <tp t="s">
        <v>#N/A Requesting Data...4245000403</v>
        <stp/>
        <stp>BDP|6555173421444373279</stp>
        <tr r="AI13" s="338"/>
      </tp>
      <tp t="s">
        <v>#N/A Requesting Data...2863717441</v>
        <stp/>
        <stp>BDP|7972065628667005104</stp>
        <tr r="C188" s="89"/>
      </tp>
      <tp t="s">
        <v>#N/A Requesting Data...1262074824</v>
        <stp/>
        <stp>BDP|9226344490726854691</stp>
        <tr r="E101" s="89"/>
      </tp>
      <tp t="s">
        <v>#N/A N/A</v>
        <stp/>
        <stp>BDP|6281575064076017068</stp>
        <tr r="AC14" s="1"/>
      </tp>
      <tp t="s">
        <v>#N/A Requesting Data...1366403413</v>
        <stp/>
        <stp>BDP|6247087616267870331</stp>
        <tr r="AH29" s="338"/>
        <tr r="AH30" s="338"/>
      </tp>
      <tp t="s">
        <v>#N/A Requesting Data...783133751</v>
        <stp/>
        <stp>BDP|4307029492407618910</stp>
        <tr r="AK45" s="338"/>
      </tp>
      <tp t="s">
        <v>#N/A Requesting Data...2434348728</v>
        <stp/>
        <stp>BDP|8245865345547421013</stp>
        <tr r="AC31" s="1"/>
        <tr r="AC32" s="1"/>
        <tr r="D30" s="446"/>
      </tp>
      <tp t="e">
        <v>#N/A</v>
        <stp/>
        <stp>BDH|7146203101610495602</stp>
        <tr r="AS54" s="338"/>
      </tp>
      <tp>
        <v>77.63</v>
        <stp/>
        <stp>BDP|8491242153513196784|22</stp>
        <stp>SHEL Equity</stp>
        <stp>LAST PRICE</stp>
        <tr r="I30" s="338"/>
      </tp>
      <tp>
        <v>79.8</v>
        <stp/>
        <stp>BDP|18176311034118889492|22</stp>
        <stp>META US 07/17/26 C670 Equity</stp>
        <stp>ask</stp>
        <tr r="L170" s="89"/>
      </tp>
      <tp t="s">
        <v>#N/A Real Time</v>
        <stp/>
        <stp>BDP|176778424576207183|22</stp>
        <stp>4OK5C 21650 Index</stp>
        <stp>QUOTED_CURRENCY_REALTIME</stp>
        <tr r="F116" s="89"/>
      </tp>
      <tp>
        <v>230</v>
        <stp/>
        <stp>BDP|3542957210497829230|22</stp>
        <stp>2OG6P 25000 INDEX</stp>
        <stp>mid</stp>
        <tr r="L30" s="2"/>
      </tp>
      <tp>
        <v>411.21</v>
        <stp/>
        <stp>BDP|9988051122657863096|22</stp>
        <stp>MSFT US Equity</stp>
        <stp>LAST_PRICE</stp>
        <tr r="S211" s="89"/>
        <tr r="S212" s="89"/>
        <tr r="S235" s="89"/>
        <tr r="S213" s="89"/>
      </tp>
      <tp>
        <v>1.46</v>
        <stp/>
        <stp>BDP|17345654414559390667|22</stp>
        <stp>MRVL US 03/20/26 P60 Equity</stp>
        <stp>ask</stp>
        <tr r="Q19" s="2"/>
      </tp>
      <tp>
        <v>17.3</v>
        <stp/>
        <stp>BDP|13077608409888620624|22</stp>
        <stp>NVDA US 07/17/26 C195 Equity</stp>
        <stp>bid</stp>
        <tr r="K237" s="89"/>
      </tp>
      <tp>
        <v>0.02</v>
        <stp/>
        <stp>BDP|16527550433128421438|22</stp>
        <stp>QQQ US 02/03/26 P613 Equity</stp>
        <stp>ask</stp>
        <tr r="L81" s="89"/>
        <tr r="Q6" s="2"/>
      </tp>
      <tp>
        <v>-0.12241418659687042</v>
        <stp/>
        <stp>BDP|12098786877158670568|22</stp>
        <stp>TSM US 06/18/26 C340 Equity</stp>
        <stp>theta_mid_rt</stp>
        <tr r="AN31" s="2"/>
      </tp>
      <tp>
        <v>-0.73475784063339233</v>
        <stp/>
        <stp>BDP|9827771439321694053|22</stp>
        <stp>1OG6P 25750 INDEX</stp>
        <stp>DELTA_MID_RT</stp>
        <tr r="AF28" s="2"/>
        <tr r="AF29" s="2"/>
      </tp>
      <tp t="s">
        <v>USD</v>
        <stp/>
        <stp>BDP|15742101950255539597|22</stp>
        <stp>MSFT US 02/20/26 P410 Equity</stp>
        <stp>QUOTED_CURRENCY_REALTIME</stp>
        <tr r="F213" s="89"/>
      </tp>
      <tp>
        <v>8.4</v>
        <stp/>
        <stp>BDP|15563065055018194263|22</stp>
        <stp>INTC US 07/17/26 C50 Equity</stp>
        <stp>ask</stp>
        <tr r="Q25" s="2"/>
        <tr r="L196" s="89"/>
      </tp>
      <tp>
        <v>411.21</v>
        <stp/>
        <stp>BDP|1720488993946020104|22</stp>
        <stp>MSFT Equity</stp>
        <stp>LAST PRICE</stp>
        <tr r="G8" s="338"/>
        <tr r="G9" s="338"/>
      </tp>
      <tp t="s">
        <v>#N/A Real Time</v>
        <stp/>
        <stp>BDP|11962745817142531480|22</stp>
        <stp>SCH5C   6250 Index</stp>
        <stp>QUOTED_CURRENCY_REALTIME</stp>
        <tr r="F96" s="89"/>
      </tp>
      <tp t="s">
        <v>USD</v>
        <stp/>
        <stp>BDP|15807974610555755775|22</stp>
        <stp>MRVL US 03/20/26 P85 Equity</stp>
        <stp>QUOTED_CURRENCY_REALTIME</stp>
        <tr r="G14" s="2"/>
      </tp>
      <tp>
        <v>9053.11</v>
        <stp/>
        <stp>BDP|8345363860153837789|22</stp>
        <stp>HSCEI Index</stp>
        <stp>LAST_PRICE</stp>
        <tr r="H19" s="252"/>
        <tr r="H19" s="252"/>
      </tp>
      <tp>
        <v>4.0999999999999996</v>
        <stp/>
        <stp>BDP|16635244585526588457|22</stp>
        <stp>MRVL US 03/20/26 P70 Equity</stp>
        <stp>mid</stp>
        <tr r="L18" s="2"/>
      </tp>
      <tp>
        <v>14.2</v>
        <stp/>
        <stp>BDP|11549499930516457816|22</stp>
        <stp>AVGO US 06/18/26 C410 Equity</stp>
        <stp>bid</stp>
        <tr r="K222" s="89"/>
      </tp>
      <tp>
        <v>29.75</v>
        <stp/>
        <stp>BDP|17652529992752880187|22</stp>
        <stp>AVGO US 06/18/26 C350 Equity</stp>
        <stp>bid</stp>
        <tr r="P5" s="2"/>
        <tr r="K223" s="89"/>
      </tp>
      <tp t="s">
        <v>USD</v>
        <stp/>
        <stp>BDP|15044284398524356946|22</stp>
        <stp>GOOG US 07/17/26 C350 Equity</stp>
        <stp>QUOTED_CURRENCY_REALTIME</stp>
        <tr r="F236" s="89"/>
      </tp>
      <tp>
        <v>0.15</v>
        <stp/>
        <stp>BDP|15901604230708554053|22</stp>
        <stp>ASHR US 02/20/26 C35 Equity</stp>
        <stp>mid</stp>
        <tr r="L4" s="2"/>
      </tp>
      <tp>
        <v>117.15</v>
        <stp/>
        <stp>BDP|9714868770676517625|22</stp>
        <stp>DELL US Equity</stp>
        <stp>LAST_PRICE</stp>
        <tr r="S49" s="89"/>
        <tr r="S50" s="89"/>
      </tp>
      <tp>
        <v>1355.54</v>
        <stp/>
        <stp>BDP|13350676150568078370|22</stp>
        <stp>KLAC EQUITY</stp>
        <stp>LAST_PRICE</stp>
        <tr r="H5" s="1"/>
      </tp>
      <tp>
        <v>5.36</v>
        <stp/>
        <stp>BDP|16792203569454591866|22</stp>
        <stp>QQQ US 02/06/26 P615 Equity</stp>
        <stp>ask</stp>
        <tr r="Q23" s="2"/>
        <tr r="L76" s="89"/>
      </tp>
      <tp>
        <v>-0.18380776047706604</v>
        <stp/>
        <stp>BDP|7815535696147585871|22</stp>
        <stp>META US 07/17/26 C750 Equity</stp>
        <stp>theta_mid_rt</stp>
        <tr r="AN12" s="2"/>
        <tr r="AN13" s="2"/>
      </tp>
      <tp t="s">
        <v>USD</v>
        <stp/>
        <stp>BDP|14649358559893085324|22</stp>
        <stp>AVGO US 06/18/26 C350 Equity</stp>
        <stp>QUOTED_CURRENCY_REALTIME</stp>
        <tr r="G5" s="2"/>
        <tr r="F223" s="89"/>
      </tp>
      <tp>
        <v>4.25</v>
        <stp/>
        <stp>BDP|15925931344332195569|22</stp>
        <stp>MRVL US 03/20/26 P70 Equity</stp>
        <stp>ask</stp>
        <tr r="Q17" s="2"/>
        <tr r="L63" s="89"/>
        <tr r="Q18" s="2"/>
      </tp>
      <tp>
        <v>12.5</v>
        <stp/>
        <stp>BDP|10246542437065037496|22</stp>
        <stp>MRVL US 03/20/26 P85 Equity</stp>
        <stp>bid</stp>
        <tr r="P14" s="2"/>
      </tp>
      <tp>
        <v>79.94</v>
        <stp/>
        <stp>BDP|2401224757541047929|22</stp>
        <stp>NFLX Equity</stp>
        <stp>LAST_PRICE</stp>
        <tr r="I28" s="1"/>
      </tp>
      <tp t="s">
        <v>#N/A Real Time</v>
        <stp/>
        <stp>BDP|10445519633806217931|22</stp>
        <stp>QQQ US 01/15/26 P623 Equity</stp>
        <stp>bid</stp>
        <tr r="K68" s="89"/>
      </tp>
      <tp t="s">
        <v>USD</v>
        <stp/>
        <stp>BDP|15517053885309908143|22</stp>
        <stp>NVDA US 07/17/26 C195 Equity</stp>
        <stp>QUOTED_CURRENCY_REALTIME</stp>
        <tr r="F237" s="89"/>
      </tp>
      <tp>
        <v>1.06</v>
        <stp/>
        <stp>BDP|10691487052039370592|22</stp>
        <stp>MSFT US 02/20/26 C445 Equity</stp>
        <stp>ask</stp>
        <tr r="L211" s="89"/>
      </tp>
      <tp>
        <v>17.55</v>
        <stp/>
        <stp>BDP|982929759879592273|22</stp>
        <stp>TSM US 06/18/26 C380 Equity</stp>
        <stp>bid</stp>
        <tr r="P32" s="2"/>
      </tp>
      <tp>
        <v>9.1999999999999993</v>
        <stp/>
        <stp>BDP|12289700020985263311|22</stp>
        <stp>MRVL US 03/20/26 P80 Equity</stp>
        <stp>bid</stp>
        <tr r="P16" s="2"/>
        <tr r="K62" s="89"/>
      </tp>
      <tp>
        <v>1395.88</v>
        <stp/>
        <stp>BDP|12845263168978951663|22</stp>
        <stp>ASML EQUITY</stp>
        <stp>LAST_PRICE</stp>
        <tr r="H3" s="1"/>
      </tp>
      <tp>
        <v>7.02</v>
        <stp/>
        <stp>BDP|11917333202169015547|22</stp>
        <stp>QQQ US 02/06/26 P624 Equity</stp>
        <stp>bid</stp>
        <tr r="K188" s="89"/>
      </tp>
      <tp>
        <v>680.41769999999997</v>
        <stp/>
        <stp>BDP|12318182968788510555|22</stp>
        <stp>NDEUCHF Index</stp>
        <stp>LAST_PRICE</stp>
        <tr r="H16" s="252"/>
        <tr r="H16" s="252"/>
      </tp>
      <tp>
        <v>340.7</v>
        <stp/>
        <stp>BDP|2010687940946133293|22</stp>
        <stp>GOOG US Equity</stp>
        <stp>LAST_PRICE</stp>
        <tr r="S236" s="89"/>
      </tp>
      <tp>
        <v>0.35</v>
        <stp/>
        <stp>BDP|11111265580234639760|22</stp>
        <stp>DELL US 02/06/26 P110 Equity</stp>
        <stp>bid</stp>
        <tr r="K50" s="89"/>
      </tp>
      <tp>
        <v>411.21</v>
        <stp/>
        <stp>BDP|1912830234697829517|22</stp>
        <stp>MSFT Equity</stp>
        <stp>LAST_PRICE</stp>
        <tr r="I32" s="1"/>
        <tr r="I31" s="1"/>
      </tp>
      <tp>
        <v>695.51</v>
        <stp/>
        <stp>BDP|16456740670778988606|22</stp>
        <stp>SNDK EQUITY</stp>
        <stp>LAST_PRICE</stp>
        <tr r="H1" s="1"/>
      </tp>
      <tp t="s">
        <v>#N/A N/A</v>
        <stp/>
        <stp>BDP|14660763042711894637|22</stp>
        <stp>QQQ US 02/03/26 P612 Equity</stp>
        <stp>bid</stp>
        <tr r="K82" s="89"/>
        <tr r="P7" s="2"/>
      </tp>
      <tp>
        <v>102.6</v>
        <stp/>
        <stp>BDP|11511261369815685982|22</stp>
        <stp>QQQE EQUITY</stp>
        <stp>LAST_PRICE</stp>
        <tr r="L7" s="1"/>
      </tp>
      <tp>
        <v>0</v>
        <stp/>
        <stp>BDP|14740065765739039508|22</stp>
        <stp>QQQ US 02/03/26 P613 Equity</stp>
        <stp>theta_mid_rt</stp>
        <tr r="AN6" s="2"/>
      </tp>
      <tp>
        <v>79.94</v>
        <stp/>
        <stp>BDP|8263106965958046051|22</stp>
        <stp>NFLX US Equity</stp>
        <stp>LAST_PRICE</stp>
        <tr r="S204" s="89"/>
        <tr r="S205" s="89"/>
        <tr r="Z11" s="2"/>
        <tr r="Z10" s="2"/>
      </tp>
      <tp>
        <v>8.5399999999999991</v>
        <stp/>
        <stp>BDP|18327239748666501329|22</stp>
        <stp>QQQ US 02/06/26 P620 Equity</stp>
        <stp>ask</stp>
        <tr r="Q22" s="2"/>
      </tp>
      <tp t="s">
        <v>#N/A Requesting Data...4265052308</v>
        <stp/>
        <stp>BDP|93312841741891818</stp>
        <tr r="V10" s="338"/>
      </tp>
      <tp t="s">
        <v>#N/A Real Time</v>
        <stp/>
        <stp>BDP|1757561132066500947|22</stp>
        <stp>SCH5C   6200 Index</stp>
        <stp>ask</stp>
        <tr r="L101" s="89"/>
      </tp>
      <tp>
        <v>3.17</v>
        <stp/>
        <stp>BDP|13120707178130364758|22</stp>
        <stp>NFLX US 05/15/26 C90 Equity</stp>
        <stp>mid</stp>
        <tr r="L10" s="2"/>
      </tp>
      <tp>
        <v>269.48</v>
        <stp/>
        <stp>BDP|13852632459561529635|22</stp>
        <stp>AAPL EQUITY</stp>
        <stp>LAST_PRICE</stp>
        <tr r="C6" s="1"/>
      </tp>
      <tp>
        <v>36488.82</v>
        <stp/>
        <stp>BDP|4029547894834693880|22</stp>
        <stp>TXIN0UNU Index</stp>
        <stp>LAST_PRICE</stp>
        <tr r="H10" s="252"/>
        <tr r="H10" s="252"/>
      </tp>
      <tp>
        <v>-0.33273279666900635</v>
        <stp/>
        <stp>BDP|1790562150702678729|22</stp>
        <stp>2OG6P 25000 INDEX</stp>
        <stp>DELTA_MID_RT</stp>
        <tr r="AF30" s="2"/>
      </tp>
      <tp t="s">
        <v>USD</v>
        <stp/>
        <stp>BDP|3263925161699445113|22</stp>
        <stp>NVDA US 02/06/26 C197.5 Equity</stp>
        <stp>QUOTED_CURRENCY_REALTIME</stp>
        <tr r="F33" s="89"/>
      </tp>
      <tp>
        <v>2.27</v>
        <stp/>
        <stp>BDP|11644130666006175934|22</stp>
        <stp>NFLX US 05/15/26 P70 Equity</stp>
        <stp>mid</stp>
        <tr r="L11" s="2"/>
      </tp>
      <tp>
        <v>1.24</v>
        <stp/>
        <stp>BDP|15215339532765560763|22</stp>
        <stp>DELL US 02/06/26 P115 Equity</stp>
        <stp>bid</stp>
        <tr r="K49" s="89"/>
      </tp>
      <tp>
        <v>550.72</v>
        <stp/>
        <stp>BDP|9828940858298145952|22</stp>
        <stp>MA Equity</stp>
        <stp>LAST PRICE</stp>
        <tr r="G16" s="338"/>
        <tr r="G38" s="338"/>
        <tr r="G40" s="338"/>
      </tp>
      <tp>
        <v>144.86000000000001</v>
        <stp/>
        <stp>BDP|7581686725725045071|22</stp>
        <stp>BIDU Equity</stp>
        <stp>LAST_PRICE</stp>
        <tr r="I13" s="1"/>
      </tp>
      <tp t="s">
        <v>#N/A Real Time</v>
        <stp/>
        <stp>BDP|790178945972254236|22</stp>
        <stp>IMBWK5C4 5840 Index</stp>
        <stp>QUOTED_CURRENCY_REALTIME</stp>
        <tr r="F89" s="89"/>
      </tp>
      <tp t="s">
        <v>USD</v>
        <stp/>
        <stp>BDP|12492213811966261198|22</stp>
        <stp>DELL US 02/06/26 P110 Equity</stp>
        <stp>QUOTED_CURRENCY_REALTIME</stp>
        <tr r="F50" s="89"/>
      </tp>
      <tp t="s">
        <v>#N/A Real Time</v>
        <stp/>
        <stp>BDP|13270901624241508025|22</stp>
        <stp>AMAT US 01/23/26 P280 Equity</stp>
        <stp>QUOTED_CURRENCY_REALTIME</stp>
        <tr r="F56" s="89"/>
      </tp>
      <tp>
        <v>6.5</v>
        <stp/>
        <stp>BDP|17311283871303777118|22</stp>
        <stp>MRVL US 03/20/26 P75 Equity</stp>
        <stp>ask</stp>
        <tr r="Q15" s="2"/>
      </tp>
      <tp t="s">
        <v>#N/A Real Time</v>
        <stp/>
        <stp>BDP|11546932509834899026|22</stp>
        <stp>AMAT US 01/23/26 P290 Equity</stp>
        <stp>ask</stp>
        <tr r="L55" s="89"/>
      </tp>
      <tp>
        <v>14.75</v>
        <stp/>
        <stp>BDP|13407383351402000483|22</stp>
        <stp>AVGO US 06/18/26 C410 Equity</stp>
        <stp>ask</stp>
        <tr r="L222" s="89"/>
      </tp>
      <tp>
        <v>180.34</v>
        <stp/>
        <stp>BDP|2630581548609766860|22</stp>
        <stp>NVDA US Equity</stp>
        <stp>LAST_PRICE</stp>
        <tr r="S33" s="89"/>
        <tr r="S34" s="89"/>
        <tr r="S40" s="89"/>
        <tr r="S237" s="89"/>
        <tr r="Z8" s="2"/>
        <tr r="S39" s="89"/>
      </tp>
      <tp t="s">
        <v>USD</v>
        <stp/>
        <stp>BDP|16004856901519448852|22</stp>
        <stp>INTC US 07/17/26 C60 Equity</stp>
        <stp>QUOTED_CURRENCY_REALTIME</stp>
        <tr r="G24" s="2"/>
        <tr r="F195" s="89"/>
      </tp>
      <tp>
        <v>339.71</v>
        <stp/>
        <stp>BDP|7379094059985716684|22</stp>
        <stp>GOOGL EQUITY</stp>
        <stp>LAST_PRICE</stp>
        <tr r="C8" s="1"/>
      </tp>
      <tp t="s">
        <v>USD</v>
        <stp/>
        <stp>BDP|14469217934206275638|22</stp>
        <stp>AVGO US 06/18/26 C410 Equity</stp>
        <stp>QUOTED_CURRENCY_REALTIME</stp>
        <tr r="F222" s="89"/>
      </tp>
      <tp>
        <v>493.74</v>
        <stp/>
        <stp>BDP|16804995271076659285|22</stp>
        <stp>BRK/B Equity</stp>
        <stp>LAST PRICE</stp>
        <tr r="I18" s="338"/>
      </tp>
      <tp>
        <v>12.85</v>
        <stp/>
        <stp>BDP|13966874951199659074|22</stp>
        <stp>MRVL US 03/20/26 P85 Equity</stp>
        <stp>ask</stp>
        <tr r="Q14" s="2"/>
      </tp>
      <tp>
        <v>30.6</v>
        <stp/>
        <stp>BDP|16021407028720881249|22</stp>
        <stp>AVGO US 06/18/26 C350 Equity</stp>
        <stp>ask</stp>
        <tr r="Q5" s="2"/>
        <tr r="L223" s="89"/>
      </tp>
      <tp>
        <v>161.16999999999999</v>
        <stp/>
        <stp>BDP|6290765801174780597|22</stp>
        <stp>WDAY Equity</stp>
        <stp>LAST PRICE</stp>
        <tr r="L10" s="446"/>
      </tp>
      <tp>
        <v>0.12</v>
        <stp/>
        <stp>BDP|12042499060543611620|22</stp>
        <stp>NVDA US 02/13/26 C210 Equity</stp>
        <stp>bid</stp>
        <tr r="K40" s="89"/>
      </tp>
      <tp>
        <v>0.17</v>
        <stp/>
        <stp>BDP|15563000227893054160|22</stp>
        <stp>NVDA US 02/06/26 C195 Equity</stp>
        <stp>bid</stp>
        <tr r="K39" s="89"/>
      </tp>
      <tp>
        <v>6917.81</v>
        <stp/>
        <stp>BDP|2596990609892593565|22</stp>
        <stp>SPX Index</stp>
        <stp>LAST_PRICE</stp>
        <tr r="S160" s="89"/>
      </tp>
      <tp t="s">
        <v>#N/A Real Time</v>
        <stp/>
        <stp>BDP|17731858862065377261|22</stp>
        <stp>QQQ US 01/15/26 P623 Equity</stp>
        <stp>ask</stp>
        <tr r="L68" s="89"/>
      </tp>
      <tp t="s">
        <v>USD</v>
        <stp/>
        <stp>BDP|16116909827799617111|22</stp>
        <stp>MRVL US 03/20/26 P60 Equity</stp>
        <stp>QUOTED_CURRENCY_REALTIME</stp>
        <tr r="G19" s="2"/>
      </tp>
      <tp>
        <v>7908.1</v>
        <stp/>
        <stp>BDP|17372378885504057467|22</stp>
        <stp>CSIN0301 Index</stp>
        <stp>LAST_PRICE</stp>
        <tr r="H7" s="252"/>
        <tr r="H7" s="252"/>
      </tp>
      <tp>
        <v>0.06</v>
        <stp/>
        <stp>BDP|731019825521593680|22</stp>
        <stp>QQQ US 02/06/26 C640 Equity</stp>
        <stp>bid</stp>
        <tr r="K186" s="89"/>
      </tp>
      <tp>
        <v>8.1999999999999993</v>
        <stp/>
        <stp>BDP|13492411471909401383|22</stp>
        <stp>INTC US 07/17/26 C50 Equity</stp>
        <stp>mid</stp>
        <tr r="L25" s="2"/>
      </tp>
      <tp>
        <v>397.68</v>
        <stp/>
        <stp>BDP|14458808308106996349|22</stp>
        <stp>SMH US Equity</stp>
        <stp>LAST_PRICE</stp>
        <tr r="S75" s="89"/>
      </tp>
      <tp>
        <v>17.399999999999999</v>
        <stp/>
        <stp>BDP|11464015968203804117|22</stp>
        <stp>NVDA US 07/17/26 C195 Equity</stp>
        <stp>ask</stp>
        <tr r="L237" s="89"/>
      </tp>
      <tp>
        <v>10.18</v>
        <stp/>
        <stp>BDP|10572433094613538553|22</stp>
        <stp>NVDA US 05/15/26 C200 Equity</stp>
        <stp>mid</stp>
        <tr r="L8" s="2"/>
      </tp>
      <tp>
        <v>238.62</v>
        <stp/>
        <stp>BDP|12911088506019095722|22</stp>
        <stp>AMZN EQUITY</stp>
        <stp>LAST_PRICE</stp>
        <tr r="C5" s="1"/>
      </tp>
      <tp t="s">
        <v>USD</v>
        <stp/>
        <stp>BDP|11036012457682524302|22</stp>
        <stp>NVDA US 02/06/26 C195 Equity</stp>
        <stp>QUOTED_CURRENCY_REALTIME</stp>
        <tr r="F39" s="89"/>
      </tp>
      <tp t="s">
        <v>USD</v>
        <stp/>
        <stp>BDP|11114719998807946412|22</stp>
        <stp>NVDA US 02/13/26 C210 Equity</stp>
        <stp>QUOTED_CURRENCY_REALTIME</stp>
        <tr r="F40" s="89"/>
      </tp>
      <tp t="s">
        <v>USD</v>
        <stp/>
        <stp>BDP|9340133311689882262|22</stp>
        <stp>NVDA US 02/13/26 C202.5 Equity</stp>
        <stp>QUOTED_CURRENCY_REALTIME</stp>
        <tr r="F34" s="89"/>
      </tp>
      <tp t="s">
        <v>#N/A Invalid Security</v>
        <stp/>
        <stp>BDP|11421682839134388301|22</stp>
        <stp>CSCO US 07/17/26 C670 Equity</stp>
        <stp>ask</stp>
        <tr r="L26" s="89"/>
      </tp>
      <tp>
        <v>10.199999999999999</v>
        <stp/>
        <stp>BDP|15097796525407453303|22</stp>
        <stp>NVDA US 05/15/26 C200 Equity</stp>
        <stp>ask</stp>
        <tr r="Q8" s="2"/>
      </tp>
      <tp>
        <v>1.41</v>
        <stp/>
        <stp>BDP|15976575646475181995|22</stp>
        <stp>MRVL US 03/20/26 P60 Equity</stp>
        <stp>mid</stp>
        <tr r="L19" s="2"/>
      </tp>
      <tp>
        <v>12</v>
        <stp/>
        <stp>BDP|12582220470592471290|22</stp>
        <stp>QQQ US 02/06/26 P624 Equity</stp>
        <stp>ask</stp>
        <tr r="L188" s="89"/>
      </tp>
      <tp>
        <v>5.2385000000000002</v>
        <stp/>
        <stp>BDP|10515480241315630363|22</stp>
        <stp>brl Curncy</stp>
        <stp>LAST_PRICE</stp>
        <tr r="AC3" s="1"/>
      </tp>
      <tp>
        <v>-0.68120878934860229</v>
        <stp/>
        <stp>BDP|14210584337440379483|22</stp>
        <stp>QQQ US 02/06/26 P620 Equity</stp>
        <stp>theta_mid_rt</stp>
        <tr r="AN22" s="2"/>
      </tp>
      <tp>
        <v>1.03</v>
        <stp/>
        <stp>BDP|17796047069567767238|22</stp>
        <stp>MSFT US 02/20/26 C445 Equity</stp>
        <stp>bid</stp>
        <tr r="K211" s="89"/>
      </tp>
      <tp>
        <v>180.34</v>
        <stp/>
        <stp>BDP|12910010818921564731|22</stp>
        <stp>NVDA EQUITY</stp>
        <stp>LAST_PRICE</stp>
        <tr r="C2" s="1"/>
      </tp>
      <tp t="s">
        <v>#N/A Real Time</v>
        <stp/>
        <stp>BDP|8711473291903038951|22</stp>
        <stp>IMBM5 Index</stp>
        <stp>LAST_PRICE</stp>
        <tr r="S89" s="89"/>
        <tr r="S90" s="89"/>
      </tp>
      <tp t="s">
        <v>#N/A Real Time</v>
        <stp/>
        <stp>BDP|17873404787619933773|22</stp>
        <stp>IMBWK5C4 5840 Index</stp>
        <stp>DELTA_MID_RT</stp>
        <tr r="W89" s="89"/>
      </tp>
      <tp>
        <v>36.549999999999997</v>
        <stp/>
        <stp>BDP|9580638355348883370|22</stp>
        <stp>TSM US 07/17/26 C340 Equity</stp>
        <stp>bid</stp>
        <tr r="K19" s="89"/>
      </tp>
      <tp t="s">
        <v>#N/A Real Time</v>
        <stp/>
        <stp>BDP|2893526367884529171|22</stp>
        <stp>RTYWU5C3 2425 Index</stp>
        <stp>QUOTED_CURRENCY_REALTIME</stp>
        <tr r="F144" s="89"/>
      </tp>
      <tp t="s">
        <v>#N/A Requesting Data...2492358322</v>
        <stp/>
        <stp>BDP|751520279507684047</stp>
        <tr r="X40" s="338"/>
      </tp>
      <tp t="s">
        <v>#N/A Requesting Data...1835957633</v>
        <stp/>
        <stp>BDP|196285167087372652</stp>
        <tr r="O19" s="89"/>
      </tp>
      <tp t="s">
        <v>#N/A Requesting Data...4079956708</v>
        <stp/>
        <stp>BDP|711948671629350257</stp>
        <tr r="E19" s="89"/>
      </tp>
      <tp t="s">
        <v>#N/A Requesting Data...4155388652</v>
        <stp/>
        <stp>BDP|609870626858325743</stp>
        <tr r="Q16" s="338"/>
        <tr r="Q38" s="338"/>
      </tp>
      <tp t="s">
        <v>#N/A Requesting Data...2326142753</v>
        <stp/>
        <stp>BDP|520527012585306457</stp>
        <tr r="G18" s="446"/>
      </tp>
      <tp t="s">
        <v>#N/A Real Time</v>
        <stp/>
        <stp>BDP|5677808555437609123|22</stp>
        <stp>4OK5C 21650 Index</stp>
        <stp>bid</stp>
        <tr r="K116" s="89"/>
      </tp>
      <tp>
        <v>0.48063263297080994</v>
        <stp/>
        <stp>BDP|1582912119927825825|22</stp>
        <stp>NVDA US 07/17/26 C195 Equity</stp>
        <stp>DELTA_MID_RT</stp>
        <tr r="W237" s="89"/>
      </tp>
      <tp>
        <v>0.28000000000000003</v>
        <stp/>
        <stp>BDP|2672814698828873688|22</stp>
        <stp>QQQ US 02/06/26 C634 Equity</stp>
        <stp>bid</stp>
        <tr r="K187" s="89"/>
      </tp>
      <tp>
        <v>165.41</v>
        <stp/>
        <stp>BDP|15031025441735979532|22</stp>
        <stp>RDDT Equity</stp>
        <stp>LAST PRICE</stp>
        <tr r="L11" s="446"/>
      </tp>
      <tp>
        <v>21.65</v>
        <stp/>
        <stp>BDP|2492093532570295717|22</stp>
        <stp>TSM US 07/17/26 C380 Equity</stp>
        <stp>bid</stp>
        <tr r="K20" s="89"/>
      </tp>
      <tp t="s">
        <v>#N/A Real Time</v>
        <stp/>
        <stp>BDP|1234455531473312143|22</stp>
        <stp>4OX4C    20500 Index</stp>
        <stp>DELTA_MID_RT</stp>
        <tr r="W108" s="89"/>
      </tp>
      <tp t="s">
        <v>#N/A Requesting Data...3198417582</v>
        <stp/>
        <stp>BDP|608595985359488024</stp>
        <tr r="AH13" s="338"/>
        <tr r="AH34" s="338"/>
        <tr r="AJ13" s="338"/>
        <tr r="AJ34" s="338"/>
      </tp>
      <tp t="s">
        <v>#N/A Requesting Data...1233866330</v>
        <stp/>
        <stp>BDP|707708639631714132</stp>
        <tr r="E234" s="89"/>
      </tp>
      <tp t="s">
        <v>#N/A Real Time</v>
        <stp/>
        <stp>BDP|6895042931085999518|22</stp>
        <stp>4EM5C    6300 Index</stp>
        <stp>QUOTED_CURRENCY_REALTIME</stp>
        <tr r="F136" s="89"/>
      </tp>
      <tp t="s">
        <v>#N/A Real Time</v>
        <stp/>
        <stp>BDP|15881876234154154689|22</stp>
        <stp>MRYH5 Index</stp>
        <stp>LAST_PRICE</stp>
        <tr r="S129" s="89"/>
      </tp>
      <tp t="s">
        <v>#N/A Real Time</v>
        <stp/>
        <stp>BDP|8620530903588151104|22</stp>
        <stp>4EM5P    6025 Index</stp>
        <stp>bid</stp>
        <tr r="K137" s="89"/>
      </tp>
      <tp t="s">
        <v>#N/A Real Time</v>
        <stp/>
        <stp>BDP|15573748720600051664|22</stp>
        <stp>SCH5C   6300 Index</stp>
        <stp>ask</stp>
        <tr r="L102" s="89"/>
      </tp>
      <tp>
        <v>444.45</v>
        <stp/>
        <stp>BDP|432481419162495379|22</stp>
        <stp>STX EQUITY</stp>
        <stp>LAST_PRICE</stp>
        <tr r="H8" s="1"/>
      </tp>
      <tp t="s">
        <v>#N/A Requesting Data...1699360038</v>
        <stp/>
        <stp>BDP|686234847331911027</stp>
        <tr r="G17" s="446"/>
      </tp>
      <tp t="s">
        <v>#N/A Requesting Data...1272293095</v>
        <stp/>
        <stp>BDP|845945561529258153</stp>
        <tr r="X37" s="338"/>
      </tp>
      <tp t="s">
        <v>#N/A Requesting Data...2571677057</v>
        <stp/>
        <stp>BDP|408762416568436914</stp>
        <tr r="T116" s="89"/>
      </tp>
      <tp t="s">
        <v>#N/A Requesting Data...2587316353</v>
        <stp/>
        <stp>BDP|637302031864596314</stp>
        <tr r="V13" s="338"/>
      </tp>
      <tp t="s">
        <v>#N/A Real Time</v>
        <stp/>
        <stp>BDP|6016398578845527243|22</stp>
        <stp>4EM5P    5800 Index</stp>
        <stp>QUOTED_CURRENCY_REALTIME</stp>
        <tr r="F138" s="89"/>
      </tp>
      <tp>
        <v>5467.26</v>
        <stp/>
        <stp>BDP|7715274099356745424|22</stp>
        <stp>HSTECH Index</stp>
        <stp>LAST_PRICE</stp>
        <tr r="H14" s="252"/>
        <tr r="H14" s="252"/>
      </tp>
      <tp t="s">
        <v>USD</v>
        <stp/>
        <stp>BDP|6516273857541230826|22</stp>
        <stp>QQQ US 02/06/26 P615 Equity</stp>
        <stp>QUOTED_CURRENCY_REALTIME</stp>
        <tr r="G23" s="2"/>
      </tp>
      <tp>
        <v>689.53</v>
        <stp/>
        <stp>BDP|15806180060743663654|22</stp>
        <stp>SPY Equity</stp>
        <stp>LAST PRICE</stp>
        <tr r="I10" s="338"/>
        <tr r="G44" s="338"/>
        <tr r="G47" s="338"/>
        <tr r="G48" s="338"/>
        <tr r="I53" s="338"/>
      </tp>
      <tp t="s">
        <v>#N/A Requesting Data...2492035160</v>
        <stp/>
        <stp>BDP|780556548910196765</stp>
        <tr r="L52" s="338"/>
        <tr r="H52" s="338"/>
        <tr r="L53" s="338"/>
        <tr r="H53" s="338"/>
        <tr r="L54" s="338"/>
        <tr r="H54" s="338"/>
      </tp>
      <tp t="s">
        <v>#N/A Requesting Data...2598572091</v>
        <stp/>
        <stp>BDP|729521579226123201</stp>
        <tr r="C236" s="89"/>
      </tp>
      <tp t="e">
        <v>#N/A</v>
        <stp/>
        <stp>BDH|248450347001943774</stp>
        <tr r="AR13" s="338"/>
      </tp>
      <tp t="e">
        <v>#N/A</v>
        <stp/>
        <stp>BDH|399714147293934629</stp>
        <tr r="AN37" s="338"/>
      </tp>
      <tp t="s">
        <v>#N/A N/A</v>
        <stp/>
        <stp>BDP|703780504329627859</stp>
        <tr r="AI29" s="1"/>
        <tr r="AI30" s="1"/>
      </tp>
      <tp t="s">
        <v>#N/A Requesting Data...4237946969</v>
        <stp/>
        <stp>BDP|107389883329186412</stp>
        <tr r="L15" s="338"/>
        <tr r="H15" s="338"/>
        <tr r="L39" s="338"/>
        <tr r="H39" s="338"/>
        <tr r="L40" s="338"/>
        <tr r="J40" s="338"/>
      </tp>
      <tp t="s">
        <v>#N/A Real Time</v>
        <stp/>
        <stp>BDP|7287440995933707632|22</stp>
        <stp>4OK5C 21650 Index</stp>
        <stp>ask</stp>
        <tr r="L116" s="89"/>
      </tp>
      <tp t="s">
        <v>#N/A N/A</v>
        <stp/>
        <stp>BDP|685429430720763165</stp>
        <tr r="K40" s="1"/>
      </tp>
      <tp t="s">
        <v>#N/A Requesting Data...2804413033</v>
        <stp/>
        <stp>BDP|244371941608499964</stp>
        <tr r="AD22" s="2"/>
      </tp>
      <tp t="s">
        <v>#N/A Requesting Data...2603812688</v>
        <stp/>
        <stp>BDP|131344738071821721</stp>
        <tr r="Q32" s="338"/>
      </tp>
      <tp>
        <v>154.66999999999999</v>
        <stp/>
        <stp>BDP|7132801475716187902|22</stp>
        <stp>ORCL EQUITY</stp>
        <stp>LAST_PRICE</stp>
        <tr r="C10" s="1"/>
      </tp>
      <tp>
        <v>9.4434373080730438E-2</v>
        <stp/>
        <stp>BDP|3921340733218828052|22</stp>
        <stp>MSFT US 02/20/26 C445 Equity</stp>
        <stp>DELTA_MID_RT</stp>
        <tr r="W211" s="89"/>
      </tp>
      <tp>
        <v>7.0000000000000007E-2</v>
        <stp/>
        <stp>BDP|8181328517322165599|22</stp>
        <stp>QQQ US 02/06/26 C640 Equity</stp>
        <stp>ask</stp>
        <tr r="L186" s="89"/>
      </tp>
      <tp t="s">
        <v>#N/A Requesting Data...3632257872</v>
        <stp/>
        <stp>BDP|930699410161740793</stp>
        <tr r="D31" s="2"/>
      </tp>
      <tp t="s">
        <v>#N/A Requesting Data...4169558712</v>
        <stp/>
        <stp>BDP|517543108217561323</stp>
        <tr r="P53" s="338"/>
      </tp>
      <tp t="s">
        <v>#N/A Requesting Data...1366197768</v>
        <stp/>
        <stp>BDP|244764414260319781</stp>
        <tr r="O18" s="252"/>
      </tp>
      <tp t="s">
        <v>#N/A N/A</v>
        <stp/>
        <stp>BDP|523029731582612052</stp>
        <tr r="AC15" s="1"/>
      </tp>
      <tp t="s">
        <v>#N/A Requesting Data...1961405921</v>
        <stp/>
        <stp>BDP|896518566545118787</stp>
        <tr r="AA102" s="89"/>
        <tr r="Z102" s="89"/>
      </tp>
      <tp t="s">
        <v>#N/A N/A</v>
        <stp/>
        <stp>BDP|171675132517797333</stp>
        <tr r="AC16" s="1"/>
      </tp>
      <tp t="s">
        <v>USD</v>
        <stp/>
        <stp>BDP|2761866802597687479|22</stp>
        <stp>TSM US 07/17/26 C340 Equity</stp>
        <stp>QUOTED_CURRENCY_REALTIME</stp>
        <tr r="F19" s="89"/>
      </tp>
      <tp t="s">
        <v>#N/A Real Time</v>
        <stp/>
        <stp>BDP|17952725581329286127|22</stp>
        <stp>SCH5C   6150 Index</stp>
        <stp>bid</stp>
        <tr r="K95" s="89"/>
      </tp>
      <tp t="s">
        <v>#N/A N/A</v>
        <stp/>
        <stp>BDP|739245098392147969</stp>
        <tr r="AG21" s="1"/>
        <tr r="AG22" s="1"/>
        <tr r="AG23" s="1"/>
      </tp>
      <tp t="s">
        <v>#N/A Requesting Data...1925096968</v>
        <stp/>
        <stp>BDP|999131207671054040</stp>
        <tr r="P55" s="338"/>
      </tp>
      <tp t="s">
        <v>#N/A N/A</v>
        <stp/>
        <stp>BDP|798980087638306908</stp>
        <tr r="N4" s="1"/>
      </tp>
      <tp t="s">
        <v>#N/A Requesting Data...3016117501</v>
        <stp/>
        <stp>BDP|454052187798556035</stp>
        <tr r="D122" s="89"/>
      </tp>
      <tp>
        <v>232.5</v>
        <stp/>
        <stp>BDP|4039017413295649492|22</stp>
        <stp>2OG6P 25000 Index</stp>
        <stp>ask</stp>
        <tr r="L154" s="89"/>
      </tp>
      <tp t="s">
        <v>#N/A Real Time</v>
        <stp/>
        <stp>BDP|16251896897947351251|22</stp>
        <stp>SCM5 Index</stp>
        <stp>LAST_PRICE</stp>
        <tr r="S95" s="89"/>
        <tr r="S96" s="89"/>
        <tr r="S102" s="89"/>
        <tr r="S101" s="89"/>
      </tp>
      <tp>
        <v>2.4896902963519096E-2</v>
        <stp/>
        <stp>BDP|3119816362787157926|22</stp>
        <stp>NVDA US 02/13/26 C210 Equity</stp>
        <stp>DELTA_MID_RT</stp>
        <tr r="W40" s="89"/>
      </tp>
      <tp>
        <v>198.57</v>
        <stp/>
        <stp>BDP|15213561957288971557|22</stp>
        <stp>RSP Equity</stp>
        <stp>LAST PRICE</stp>
        <tr r="I15" s="338"/>
        <tr r="I16" s="338"/>
        <tr r="I17" s="338"/>
        <tr r="I38" s="338"/>
        <tr r="I39" s="338"/>
        <tr r="I44" s="338"/>
        <tr r="I52" s="338"/>
      </tp>
      <tp t="s">
        <v>#N/A N/A</v>
        <stp/>
        <stp>BDP|202738465971911334</stp>
        <tr r="AB75" s="89"/>
      </tp>
      <tp t="s">
        <v>#N/A Requesting Data...1611978539</v>
        <stp/>
        <stp>BDP|661100657203862412</stp>
        <tr r="C40" s="89"/>
      </tp>
      <tp t="s">
        <v>#N/A N/A</v>
        <stp/>
        <stp>BDP|400489739133855744</stp>
        <tr r="AF35" s="1"/>
      </tp>
      <tp t="s">
        <v>#N/A Requesting Data...2432052625</v>
        <stp/>
        <stp>BDP|103387833183780070</stp>
        <tr r="AA108" s="89"/>
        <tr r="Z108" s="89"/>
      </tp>
      <tp t="s">
        <v>#N/A N/A</v>
        <stp/>
        <stp>BDP|128295106685337499</stp>
        <tr r="R154" s="89"/>
      </tp>
      <tp t="s">
        <v>#N/A Requesting Data...1320348275</v>
        <stp/>
        <stp>BDP|478430612816363037</stp>
        <tr r="O82" s="89"/>
        <tr r="T7" s="2"/>
      </tp>
      <tp>
        <v>88.35</v>
        <stp/>
        <stp>BDP|6244681688337820540|22</stp>
        <stp>KBWB EQUITY</stp>
        <stp>LAST_PRICE</stp>
        <tr r="L1" s="1"/>
      </tp>
      <tp t="s">
        <v>#N/A Invalid Security</v>
        <stp/>
        <stp>BDP|9940116949939226228|22</stp>
        <stp>CSCO US 07/17/26 C670 Equity</stp>
        <stp>DELTA_MID_RT</stp>
        <tr r="W26" s="89"/>
      </tp>
      <tp>
        <v>-0.13894855976104736</v>
        <stp/>
        <stp>BDP|6165044578768178450|22</stp>
        <stp>DELL US 02/06/26 P110 Equity</stp>
        <stp>DELTA_MID_RT</stp>
        <tr r="W50" s="89"/>
      </tp>
      <tp>
        <v>15.34</v>
        <stp/>
        <stp>BDP|11593899381746563402|22</stp>
        <stp>RIOT Equity</stp>
        <stp>LAST_PRICE</stp>
        <tr r="I56" s="1"/>
      </tp>
      <tp>
        <v>18.3</v>
        <stp/>
        <stp>BDP|7303697284640564666|22</stp>
        <stp>TSM US 06/18/26 C380 Equity</stp>
        <stp>ask</stp>
        <tr r="Q32" s="2"/>
      </tp>
      <tp>
        <v>23.15</v>
        <stp/>
        <stp>BDP|3151677417243031834|22</stp>
        <stp>TSM US 07/17/26 C380 Equity</stp>
        <stp>ask</stp>
        <tr r="L20" s="89"/>
      </tp>
      <tp t="s">
        <v>#N/A N/A</v>
        <stp/>
        <stp>BDP|450712038053400567</stp>
        <tr r="AG12" s="1"/>
      </tp>
      <tp>
        <v>616.52</v>
        <stp/>
        <stp>BDP|13846945124532688911|22</stp>
        <stp>QQQ Equity</stp>
        <stp>LAST_PRICE</stp>
        <tr r="I23" s="1"/>
        <tr r="I21" s="1"/>
        <tr r="I22" s="1"/>
      </tp>
      <tp t="s">
        <v>#N/A Requesting Data...3079045320</v>
        <stp/>
        <stp>BDP|908193390539320353</stp>
        <tr r="AA62" s="89"/>
        <tr r="Z62" s="89"/>
      </tp>
      <tp t="s">
        <v>#N/A Requesting Data...2590858383</v>
        <stp/>
        <stp>BDP|990393331705558743</stp>
        <tr r="O34" s="89"/>
      </tp>
      <tp t="s">
        <v>#N/A Requesting Data...1499227842</v>
        <stp/>
        <stp>BDP|310378113498032857</stp>
        <tr r="AB33" s="1"/>
        <tr r="AB34" s="1"/>
        <tr r="F9" s="446"/>
      </tp>
      <tp>
        <v>5.0438199192285538E-2</v>
        <stp/>
        <stp>BDP|2773479736639591037|22</stp>
        <stp>NVDA US 02/06/26 C195 Equity</stp>
        <stp>DELTA_MID_RT</stp>
        <tr r="W39" s="89"/>
      </tp>
      <tp>
        <v>-0.23648256063461304</v>
        <stp/>
        <stp>BDP|5551973401497312809|22</stp>
        <stp>AVGO US 06/18/26 P270 Equity</stp>
        <stp>DELTA_MID_RT</stp>
        <tr r="W225" s="89"/>
      </tp>
      <tp>
        <v>6.9385000000000003</v>
        <stp/>
        <stp>BDP|294453488151020053|22</stp>
        <stp>cny Curncy</stp>
        <stp>LAST_PRICE</stp>
        <tr r="I50" s="54"/>
      </tp>
      <tp t="s">
        <v>#N/A Real Time</v>
        <stp/>
        <stp>BDP|1989345149758854348|22</stp>
        <stp>4EM5P    6025 Index</stp>
        <stp>ask</stp>
        <tr r="L137" s="89"/>
      </tp>
      <tp t="s">
        <v>#N/A Real Time</v>
        <stp/>
        <stp>BDP|11815058160217724348|22</stp>
        <stp>SCH5C   6250 Index</stp>
        <stp>bid</stp>
        <tr r="K96" s="89"/>
      </tp>
      <tp t="s">
        <v>#N/A Requesting Data...1176476943</v>
        <stp/>
        <stp>BDP|630836919334916088</stp>
        <tr r="X10" s="338"/>
      </tp>
      <tp t="s">
        <v>#N/A N/A</v>
        <stp/>
        <stp>BDP|894652130481491978</stp>
        <tr r="AC12" s="2"/>
        <tr r="AC13" s="2"/>
      </tp>
      <tp t="s">
        <v>#N/A Requesting Data...2073608583</v>
        <stp/>
        <stp>BDP|270487313100359854</stp>
        <tr r="V17" s="338"/>
      </tp>
      <tp>
        <v>689.53</v>
        <stp/>
        <stp>BDP|13189918054944550299|22</stp>
        <stp>SPY Equity</stp>
        <stp>LAST_PRICE</stp>
        <tr r="X3" s="1"/>
      </tp>
      <tp>
        <v>-0.63361263275146484</v>
        <stp/>
        <stp>BDP|6782369029995673063|22</stp>
        <stp>MSFT US 02/20/26 P420 Equity</stp>
        <stp>DELTA_MID_RT</stp>
        <tr r="W212" s="89"/>
      </tp>
      <tp>
        <v>-7.3793105781078339E-2</v>
        <stp/>
        <stp>BDP|3178362372691625299|22</stp>
        <stp>MRVL US 03/20/26 P80 Equity</stp>
        <stp>theta_mid_rt</stp>
        <tr r="AN16" s="2"/>
      </tp>
      <tp t="s">
        <v>#N/A Real Time</v>
        <stp/>
        <stp>BDP|5899528920965095514|22</stp>
        <stp>QQQ US 01/15/26 P622 Equity</stp>
        <stp>QUOTED_CURRENCY_REALTIME</stp>
        <tr r="F69" s="89"/>
      </tp>
      <tp>
        <v>345.64</v>
        <stp/>
        <stp>BDP|14332915070053504036|22</stp>
        <stp>SOXX Equity</stp>
        <stp>LAST PRICE</stp>
        <tr r="I13" s="338"/>
      </tp>
      <tp t="s">
        <v>#N/A Real Time</v>
        <stp/>
        <stp>BDP|18244149785860431845|22</stp>
        <stp>SCH5C   6250 Index</stp>
        <stp>ask</stp>
        <tr r="L96" s="89"/>
      </tp>
      <tp t="s">
        <v>#N/A Real Time</v>
        <stp/>
        <stp>BDP|12269990925287542773|22</stp>
        <stp>SCH5C   6150 Index</stp>
        <stp>ask</stp>
        <tr r="L95" s="89"/>
      </tp>
      <tp t="s">
        <v>#N/A N/A</v>
        <stp/>
        <stp>BDP|719089596741783407</stp>
        <tr r="R49" s="89"/>
        <tr r="R50" s="89"/>
      </tp>
      <tp t="s">
        <v>#N/A Requesting Data...2029414401</v>
        <stp/>
        <stp>BDP|127253274771311898</stp>
        <tr r="AF25" s="1"/>
        <tr r="AF26" s="1"/>
        <tr r="AG11" s="338"/>
      </tp>
      <tp t="s">
        <v>#N/A Requesting Data...2469023706</v>
        <stp/>
        <stp>BDP|824832122673497597</stp>
        <tr r="E40" s="89"/>
      </tp>
      <tp t="s">
        <v>#N/A Requesting Data...1901081136</v>
        <stp/>
        <stp>BDP|827675090525898604</stp>
        <tr r="AF41" s="338"/>
        <tr r="AF42" s="338"/>
      </tp>
      <tp t="s">
        <v>#N/A Requesting Data...3084371631</v>
        <stp/>
        <stp>BDP|782705090920373269</stp>
        <tr r="D129" s="89"/>
      </tp>
      <tp t="s">
        <v>#N/A Requesting Data...3574649025</v>
        <stp/>
        <stp>BDP|404252579678701218</stp>
        <tr r="T14" s="2"/>
      </tp>
      <tp t="s">
        <v>#N/A Requesting Data...3664533622</v>
        <stp/>
        <stp>BDP|747191926384069867</stp>
        <tr r="L15" s="252"/>
        <tr r="L15" s="252"/>
      </tp>
      <tp t="s">
        <v>#N/A Requesting Data...1347336893</v>
        <stp/>
        <stp>BDP|176347289857022339</stp>
        <tr r="S17" s="252"/>
      </tp>
      <tp t="s">
        <v>#N/A Requesting Data...2144390217</v>
        <stp/>
        <stp>BDP|278537766618564487</stp>
        <tr r="U17" s="338"/>
      </tp>
      <tp t="s">
        <v>#N/A N/A</v>
        <stp/>
        <stp>BDP|987924063845804559</stp>
        <tr r="J2" s="1"/>
      </tp>
      <tp t="s">
        <v>#N/A Requesting Data...3413022412</v>
        <stp/>
        <stp>BDP|581870374928108840</stp>
        <tr r="X51" s="338"/>
      </tp>
      <tp t="s">
        <v>#N/A Real Time</v>
        <stp/>
        <stp>BDP|11673350682110336228|22</stp>
        <stp>3OH5 Index</stp>
        <stp>LAST_PRICE</stp>
        <tr r="S109" s="89"/>
      </tp>
      <tp t="s">
        <v>USD</v>
        <stp/>
        <stp>BDP|9573894750857985492|22</stp>
        <stp>TSM US 07/17/26 C380 Equity</stp>
        <stp>QUOTED_CURRENCY_REALTIME</stp>
        <tr r="F20" s="89"/>
      </tp>
      <tp>
        <v>691.7</v>
        <stp/>
        <stp>BDP|3305523752982270676|22</stp>
        <stp>META EQUITY</stp>
        <stp>LAST_PRICE</stp>
        <tr r="C9" s="1"/>
      </tp>
      <tp t="s">
        <v>#N/A Real Time</v>
        <stp/>
        <stp>BDP|4448489992068111945|22</stp>
        <stp>AMAT US 01/23/26 P290 Equity</stp>
        <stp>DELTA_MID_RT</stp>
        <tr r="W55" s="89"/>
      </tp>
      <tp t="s">
        <v>USD</v>
        <stp/>
        <stp>BDP|7410468017423328155|22</stp>
        <stp>QQQ US 02/06/26 P624 Equity</stp>
        <stp>QUOTED_CURRENCY_REALTIME</stp>
        <tr r="F188" s="89"/>
      </tp>
      <tp t="s">
        <v>USD</v>
        <stp/>
        <stp>BDP|8198216585701360319|22</stp>
        <stp>QQQ US 02/06/26 P620 Equity</stp>
        <stp>QUOTED_CURRENCY_REALTIME</stp>
        <tr r="G22" s="2"/>
      </tp>
      <tp>
        <v>198.57</v>
        <stp/>
        <stp>BDP|10381440186149181728|22</stp>
        <stp>RSP Equity</stp>
        <stp>LAST_PRICE</stp>
        <tr r="I20" s="1"/>
        <tr r="I19" s="1"/>
      </tp>
      <tp t="s">
        <v>#N/A N/A</v>
        <stp/>
        <stp>BDP|887987616640012698</stp>
        <tr r="AB12" s="1"/>
      </tp>
      <tp t="s">
        <v>#N/A Requesting Data...1587246684</v>
        <stp/>
        <stp>BDP|364330932177526925</stp>
        <tr r="S37" s="338"/>
      </tp>
      <tp t="s">
        <v>#N/A Requesting Data...3077653146</v>
        <stp/>
        <stp>BDP|305146922705307837</stp>
        <tr r="C11" s="2"/>
      </tp>
      <tp>
        <v>33.24</v>
        <stp/>
        <stp>BDP|18329643987132492211|22</stp>
        <stp>ASHR Equity</stp>
        <stp>LAST_PRICE</stp>
        <tr r="H6" s="252"/>
        <tr r="H6" s="252"/>
        <tr r="I14" s="1"/>
      </tp>
      <tp t="s">
        <v>USD</v>
        <stp/>
        <stp>BDP|7980972700498627708|22</stp>
        <stp>QQQ US 02/03/26 P613 Equity</stp>
        <stp>QUOTED_CURRENCY_REALTIME</stp>
        <tr r="F81" s="89"/>
        <tr r="G6" s="2"/>
      </tp>
      <tp t="s">
        <v>#N/A Real Time</v>
        <stp/>
        <stp>BDP|14543056938347834117|22</stp>
        <stp>SCH5C   6300 Index</stp>
        <stp>bid</stp>
        <tr r="K102" s="89"/>
      </tp>
      <tp t="s">
        <v>#N/A Real Time</v>
        <stp/>
        <stp>BDP|16492539425316468950|22</stp>
        <stp>SCH5C   6200 Index</stp>
        <stp>bid</stp>
        <tr r="K101" s="89"/>
      </tp>
      <tp t="s">
        <v>#N/A Requesting Data...3344443782</v>
        <stp/>
        <stp>BDP|865618064141370815</stp>
        <tr r="N12" s="252"/>
        <tr r="N12" s="252"/>
      </tp>
      <tp t="s">
        <v>#N/A Requesting Data...3593658688</v>
        <stp/>
        <stp>BDP|732161299032579384</stp>
        <tr r="AR22" s="2"/>
      </tp>
      <tp t="s">
        <v>#N/A N/A</v>
        <stp/>
        <stp>BDP|757266498405781787</stp>
        <tr r="X3" s="1"/>
      </tp>
      <tp t="s">
        <v>#N/A Requesting Data...1450014032</v>
        <stp/>
        <stp>BDP|321567796020124549</stp>
        <tr r="F43" s="446"/>
      </tp>
      <tp t="s">
        <v>#N/A Requesting Data...3572999998</v>
        <stp/>
        <stp>BDP|748281786590893378</stp>
        <tr r="AA160" s="89"/>
        <tr r="Z160" s="89"/>
      </tp>
      <tp t="s">
        <v>#N/A Requesting Data...1983962557</v>
        <stp/>
        <stp>BDP|673973412587873689</stp>
        <tr r="AA22" s="2"/>
      </tp>
      <tp t="s">
        <v>#N/A Real Time</v>
        <stp/>
        <stp>BDP|1731871426539960425|22</stp>
        <stp>QQQ US 01/15/26 P623 Equity</stp>
        <stp>QUOTED_CURRENCY_REALTIME</stp>
        <tr r="F68" s="89"/>
      </tp>
      <tp>
        <v>43.24</v>
        <stp/>
        <stp>BDP|16955313478604069014|22</stp>
        <stp>XLU Equity</stp>
        <stp>LAST PRICE</stp>
        <tr r="I42" s="338"/>
      </tp>
      <tp t="s">
        <v>#N/A Requesting Data...2289155292</v>
        <stp/>
        <stp>BDP|938081193165986446</stp>
        <tr r="U46" s="338"/>
      </tp>
      <tp t="s">
        <v>#N/A Requesting Data...1794702831</v>
        <stp/>
        <stp>BDP|345620769730348823</stp>
        <tr r="G20" s="446"/>
      </tp>
      <tp t="s">
        <v>#N/A Requesting Data...2637297703</v>
        <stp/>
        <stp>BDP|493910466490440711</stp>
        <tr r="O63" s="89"/>
        <tr r="T17" s="2"/>
        <tr r="T18" s="2"/>
      </tp>
      <tp t="s">
        <v>#N/A N/A</v>
        <stp/>
        <stp>BDP|771655587750732627</stp>
        <tr r="AI27" s="1"/>
      </tp>
      <tp t="s">
        <v>USD</v>
        <stp/>
        <stp>BDP|5876029209403858680|22</stp>
        <stp>TSM US 06/18/26 C340 Equity</stp>
        <stp>QUOTED_CURRENCY_REALTIME</stp>
        <tr r="G31" s="2"/>
      </tp>
      <tp t="s">
        <v>#N/A Real Time</v>
        <stp/>
        <stp>BDP|1593024835823764098|22</stp>
        <stp>AMAT US 01/23/26 P280 Equity</stp>
        <stp>DELTA_MID_RT</stp>
        <tr r="W56" s="89"/>
      </tp>
      <tp>
        <v>85.39</v>
        <stp/>
        <stp>BDP|17908492883037311012|22</stp>
        <stp>IGV Equity</stp>
        <stp>LAST PRICE</stp>
        <tr r="I8" s="338"/>
        <tr r="I32" s="338"/>
        <tr r="I46" s="338"/>
        <tr r="I50" s="338"/>
      </tp>
      <tp t="s">
        <v>#N/A N/A</v>
        <stp/>
        <stp>BDP|410104351027872819</stp>
        <tr r="AB35" s="1"/>
      </tp>
      <tp t="s">
        <v>#N/A Requesting Data...1220993471</v>
        <stp/>
        <stp>BDP|764078797243992127</stp>
        <tr r="D56" s="89"/>
      </tp>
      <tp t="e">
        <v>#N/A</v>
        <stp/>
        <stp>BDH|654212575899728786</stp>
        <tr r="AN8" s="338"/>
        <tr r="AN9" s="338"/>
      </tp>
      <tp t="s">
        <v>#N/A Requesting Data...1762347702</v>
        <stp/>
        <stp>BDP|237201852408926413</stp>
        <tr r="U35" s="338"/>
      </tp>
      <tp t="s">
        <v>#N/A Requesting Data...4018988677</v>
        <stp/>
        <stp>BDP|410647168382881996</stp>
        <tr r="V54" s="338"/>
      </tp>
      <tp t="s">
        <v>#N/A Requesting Data...2491145994</v>
        <stp/>
        <stp>BDP|981114986491900309</stp>
        <tr r="F8" s="252"/>
      </tp>
      <tp t="s">
        <v>#N/A Requesting Data...1276497880</v>
        <stp/>
        <stp>BDP|158907810677526447</stp>
        <tr r="C197" s="89"/>
        <tr r="D26" s="2"/>
        <tr r="D27" s="2"/>
      </tp>
      <tp t="s">
        <v>#N/A Requesting Data...1495094226</v>
        <stp/>
        <stp>BDP|612746655750406928</stp>
        <tr r="S16" s="338"/>
        <tr r="S38" s="338"/>
      </tp>
      <tp t="s">
        <v>#N/A N/A</v>
        <stp/>
        <stp>BDP|315966408504131726</stp>
        <tr r="K21" s="1"/>
      </tp>
      <tp t="s">
        <v>#N/A Requesting Data...2444829823</v>
        <stp/>
        <stp>BDP|721330484650791132</stp>
        <tr r="D19" s="2"/>
      </tp>
      <tp t="s">
        <v>#N/A Real Time</v>
        <stp/>
        <stp>BDP|9931751547643048436|22</stp>
        <stp>4OK5C 21300 Index</stp>
        <stp>bid</stp>
        <tr r="K115" s="89"/>
      </tp>
      <tp>
        <v>320.33</v>
        <stp/>
        <stp>BDP|1725093802414075352|22</stp>
        <stp>AVGO EQUITY</stp>
        <stp>LAST_PRICE</stp>
        <tr r="C1" s="1"/>
      </tp>
      <tp t="s">
        <v>#N/A Real Time</v>
        <stp/>
        <stp>BDP|4540119519947445118|22</stp>
        <stp>4EM5C    6300 Index</stp>
        <stp>bid</stp>
        <tr r="K136" s="89"/>
      </tp>
      <tp>
        <v>4.87</v>
        <stp/>
        <stp>BDP|7194987252493338944|22</stp>
        <stp>QQQ US 02/06/26 P615 Equity</stp>
        <stp>bid</stp>
        <tr r="P23" s="2"/>
        <tr r="K76" s="89"/>
      </tp>
      <tp>
        <v>75.540000000000006</v>
        <stp/>
        <stp>BDP|15428137786848034213|22</stp>
        <stp>MRVL Equity</stp>
        <stp>LAST PRICE</stp>
        <tr r="G37" s="338"/>
      </tp>
      <tp>
        <v>38.72</v>
        <stp/>
        <stp>BDP|15189910301226923788|22</stp>
        <stp>FXI Equity</stp>
        <stp>LAST_PRICE</stp>
        <tr r="H9" s="252"/>
        <tr r="H9" s="252"/>
      </tp>
      <tp>
        <v>75.540000000000006</v>
        <stp/>
        <stp>BDP|14735743812855208855|22</stp>
        <stp>MRVL Equity</stp>
        <stp>LAST_PRICE</stp>
        <tr r="I55" s="1"/>
        <tr r="I54" s="1"/>
      </tp>
      <tp>
        <v>3.35</v>
        <stp/>
        <stp>BDP|2655392201055061554|22</stp>
        <stp>INTC US 07/17/26 P40 Equity</stp>
        <stp>ask</stp>
        <tr r="Q26" s="2"/>
        <tr r="L197" s="89"/>
        <tr r="Q27" s="2"/>
      </tp>
      <tp>
        <v>6.5</v>
        <stp/>
        <stp>BDP|9532759165933976212|22</stp>
        <stp>QQQ US 02/06/26 P620 Equity</stp>
        <stp>bid</stp>
        <tr r="P22" s="2"/>
      </tp>
      <tp>
        <v>180.34</v>
        <stp/>
        <stp>BDP|18083567340910719726|22</stp>
        <stp>NVDA Equity</stp>
        <stp>LAST PRICE</stp>
        <tr r="G14" s="338"/>
        <tr r="G35" s="338"/>
      </tp>
      <tp>
        <v>6.0746349394321442E-2</v>
        <stp/>
        <stp>BDP|11228334689169165730|22</stp>
        <stp>QQQ US 02/06/26 C634 Equity</stp>
        <stp>DELTA_MID_RT</stp>
        <tr r="W187" s="89"/>
      </tp>
      <tp>
        <v>2.0099999999999998</v>
        <stp/>
        <stp>BDP|4198991794791802947|22</stp>
        <stp>NFLX US 05/15/26 P70 Equity</stp>
        <stp>bid</stp>
        <tr r="K205" s="89"/>
        <tr r="P11" s="2"/>
      </tp>
      <tp>
        <v>3.25</v>
        <stp/>
        <stp>BDP|8949169944132404204|22</stp>
        <stp>NFLX US 05/15/26 C90 Equity</stp>
        <stp>ask</stp>
        <tr r="L204" s="89"/>
        <tr r="Q10" s="2"/>
      </tp>
      <tp t="s">
        <v>#N/A Real Time</v>
        <stp/>
        <stp>BDP|8340553546063687451|22</stp>
        <stp>4OK5C 21650 Index</stp>
        <stp>DELTA_MID_RT</stp>
        <tr r="W116" s="89"/>
      </tp>
      <tp>
        <v>5.15</v>
        <stp/>
        <stp>BDP|3366296364494691481|22</stp>
        <stp>INTC US 07/17/26 C60 Equity</stp>
        <stp>mid</stp>
        <tr r="L24" s="2"/>
      </tp>
      <tp>
        <v>180.34</v>
        <stp/>
        <stp>BDP|10556089213855348182|22</stp>
        <stp>NVDA Equity</stp>
        <stp>LAST_PRICE</stp>
        <tr r="I53" s="1"/>
        <tr r="I52" s="1"/>
      </tp>
      <tp>
        <v>8.1</v>
        <stp/>
        <stp>BDP|3361052496607680058|22</stp>
        <stp>SMH US 02/13/26 P390 Equity</stp>
        <stp>ask</stp>
        <tr r="L75" s="89"/>
      </tp>
      <tp>
        <v>102.6</v>
        <stp/>
        <stp>BDP|14694299950615217950|22</stp>
        <stp>QQQE Equity</stp>
        <stp>LAST PRICE</stp>
        <tr r="I45" s="338"/>
      </tp>
      <tp t="s">
        <v>#N/A Real Time</v>
        <stp/>
        <stp>BDP|928300113290748413|22</stp>
        <stp>4OX4C    20500 Index</stp>
        <stp>QUOTED_CURRENCY_REALTIME</stp>
        <tr r="F108" s="89"/>
      </tp>
      <tp t="s">
        <v>#N/A Real Time</v>
        <stp/>
        <stp>BDP|6503747290856300180|22</stp>
        <stp>4EM5C    6300 Index</stp>
        <stp>ask</stp>
        <tr r="L136" s="89"/>
      </tp>
      <tp>
        <v>-20.423271179199219</v>
        <stp/>
        <stp>BDP|5903894134363418673|22</stp>
        <stp>2OG6P 25000 INDEX</stp>
        <stp>theta_mid_rt</stp>
        <tr r="AN30" s="2"/>
      </tp>
      <tp>
        <v>68.5</v>
        <stp/>
        <stp>BDP|12824948095476956285|22</stp>
        <stp>WMB Equity</stp>
        <stp>LAST_PRICE</stp>
        <tr r="I57" s="1"/>
      </tp>
      <tp>
        <v>53.53</v>
        <stp/>
        <stp>BDP|11210988692762470107|22</stp>
        <stp>XLF Equity</stp>
        <stp>LAST_PRICE</stp>
        <tr r="I59" s="1"/>
        <tr r="I58" s="1"/>
      </tp>
      <tp>
        <v>269.48</v>
        <stp/>
        <stp>BDP|17831911536214693857|22</stp>
        <stp>AAPL Equity</stp>
        <stp>LAST_PRICE</stp>
        <tr r="I26" s="1"/>
        <tr r="I25" s="1"/>
      </tp>
      <tp t="s">
        <v>#N/A Real Time</v>
        <stp/>
        <stp>BDP|7909497283026172618|22</stp>
        <stp>4OK5C 21300 Index</stp>
        <stp>DELTA_MID_RT</stp>
        <tr r="W115" s="89"/>
      </tp>
      <tp>
        <v>-1.1649949476122856E-2</v>
        <stp/>
        <stp>BDP|16797767760751970733|22</stp>
        <stp>QQQ US 02/03/26 P613 Equity</stp>
        <stp>DELTA_MID_RT</stp>
        <tr r="W81" s="89"/>
        <tr r="AF6" s="2"/>
      </tp>
      <tp>
        <v>49.25</v>
        <stp/>
        <stp>BDP|10275830506276374754|22</stp>
        <stp>INTC Equity</stp>
        <stp>LAST_PRICE</stp>
        <tr r="I51" s="1"/>
      </tp>
      <tp>
        <v>-1.2277337722480297E-2</v>
        <stp/>
        <stp>BDP|5598166511208398697|22</stp>
        <stp>ASHR US 02/20/26 C35 Equity</stp>
        <stp>theta_mid_rt</stp>
        <tr r="AN4" s="2"/>
      </tp>
      <tp>
        <v>88.35</v>
        <stp/>
        <stp>BDP|16647003187596374852|22</stp>
        <stp>KBWB Equity</stp>
        <stp>LAST_PRICE</stp>
        <tr r="I60" s="1"/>
      </tp>
      <tp>
        <v>163.65</v>
        <stp/>
        <stp>BDP|16076910053857732698|22</stp>
        <stp>BABA Equity</stp>
        <stp>LAST_PRICE</stp>
        <tr r="I12" s="1"/>
      </tp>
      <tp t="s">
        <v>USD</v>
        <stp/>
        <stp>BDP|8192195570290206962|22</stp>
        <stp>SMH US 02/13/26 P390 Equity</stp>
        <stp>QUOTED_CURRENCY_REALTIME</stp>
        <tr r="F75" s="89"/>
      </tp>
      <tp>
        <v>3.11</v>
        <stp/>
        <stp>BDP|2917703585590040909|22</stp>
        <stp>INTC US 07/17/26 P40 Equity</stp>
        <stp>mid</stp>
        <tr r="L26" s="2"/>
        <tr r="L27" s="2"/>
      </tp>
      <tp>
        <v>2.87</v>
        <stp/>
        <stp>BDP|6431933654204043778|22</stp>
        <stp>INTC US 07/17/26 P40 Equity</stp>
        <stp>bid</stp>
        <tr r="P26" s="2"/>
        <tr r="K197" s="89"/>
        <tr r="P27" s="2"/>
      </tp>
      <tp t="s">
        <v>#N/A Real Time</v>
        <stp/>
        <stp>BDP|5132776150139742647|22</stp>
        <stp>QQQ US 01/15/26 P622 Equity</stp>
        <stp>ask</stp>
        <tr r="L69" s="89"/>
      </tp>
      <tp t="s">
        <v>#N/A Real Time</v>
        <stp/>
        <stp>BDP|16732714406053690944|22</stp>
        <stp>KMU5 Index</stp>
        <stp>LAST PRICE</stp>
        <tr r="L13" s="446"/>
      </tp>
      <tp>
        <v>74.42</v>
        <stp/>
        <stp>BDP|16675559367525942243|22</stp>
        <stp>TTE Equity</stp>
        <stp>LAST PRICE</stp>
        <tr r="I29" s="338"/>
      </tp>
      <tp>
        <v>0.54816228151321411</v>
        <stp/>
        <stp>BDP|16687792746206833445|22</stp>
        <stp>TSM US 06/18/26 C340 Equity</stp>
        <stp>DELTA_MID_RT</stp>
        <tr r="AF31" s="2"/>
      </tp>
      <tp>
        <v>4067.7379999999998</v>
        <stp/>
        <stp>BDP|8077747707676540560|22</stp>
        <stp>SHCOMP Index</stp>
        <stp>LAST_PRICE</stp>
        <tr r="H20" s="252"/>
        <tr r="H20" s="252"/>
      </tp>
      <tp t="s">
        <v>#N/A Real Time</v>
        <stp/>
        <stp>BDP|9553145545070053911|22</stp>
        <stp>QQQ US 01/15/26 P622 Equity</stp>
        <stp>bid</stp>
        <tr r="K69" s="89"/>
      </tp>
      <tp>
        <v>87.07</v>
        <stp/>
        <stp>BDP|11576966289528241643|22</stp>
        <stp>HOOD Equity</stp>
        <stp>LAST PRICE</stp>
        <tr r="L5" s="446"/>
        <tr r="L6" s="446"/>
      </tp>
      <tp>
        <v>0.55772542953491211</v>
        <stp/>
        <stp>BDP|15150595801257451367|22</stp>
        <stp>TSM US 07/17/26 C340 Equity</stp>
        <stp>DELTA_MID_RT</stp>
        <tr r="W19" s="89"/>
      </tp>
      <tp>
        <v>435.1</v>
        <stp/>
        <stp>BDP|13530810646219131800|22</stp>
        <stp>LITE Equity</stp>
        <stp>LAST_PRICE</stp>
        <tr r="I40" s="1"/>
        <tr r="I41" s="1"/>
      </tp>
      <tp t="s">
        <v>#N/A Real Time</v>
        <stp/>
        <stp>BDP|9694420881586169364|22</stp>
        <stp>RFSWZ4C3 2360 Index</stp>
        <stp>QUOTED_CURRENCY_REALTIME</stp>
        <tr r="F122" s="89"/>
      </tp>
      <tp>
        <v>241.21</v>
        <stp/>
        <stp>BDP|13659659385475398852|22</stp>
        <stp>ACN Equity</stp>
        <stp>LAST PRICE</stp>
        <tr r="L8" s="446"/>
      </tp>
      <tp>
        <v>9.4</v>
        <stp/>
        <stp>BDP|8734482328934403813|22</stp>
        <stp>MRVL US 03/20/26 P80 Equity</stp>
        <stp>ask</stp>
        <tr r="Q16" s="2"/>
        <tr r="L62" s="89"/>
      </tp>
      <tp>
        <v>320.33</v>
        <stp/>
        <stp>BDP|17391786708796275229|22</stp>
        <stp>AVGO Equity</stp>
        <stp>LAST PRICE</stp>
        <tr r="G36" s="338"/>
      </tp>
      <tp t="s">
        <v>#N/A Real Time</v>
        <stp/>
        <stp>BDP|4495944840048885395|22</stp>
        <stp>IMBWK5C4 5880 Index</stp>
        <stp>QUOTED_CURRENCY_REALTIME</stp>
        <tr r="F90" s="89"/>
      </tp>
      <tp>
        <v>230.1</v>
        <stp/>
        <stp>BDP|4463437285265374374|22</stp>
        <stp>LRCX EQUITY</stp>
        <stp>LAST_PRICE</stp>
        <tr r="H6" s="1"/>
      </tp>
      <tp>
        <v>-2.392633818089962E-2</v>
        <stp/>
        <stp>BDP|1880248133672197461|22</stp>
        <stp>NFLX US 05/15/26 P70 Equity</stp>
        <stp>theta_mid_rt</stp>
        <tr r="AN11" s="2"/>
      </tp>
      <tp>
        <v>8</v>
        <stp/>
        <stp>BDP|9317551536395983431|22</stp>
        <stp>INTC US 07/17/26 C50 Equity</stp>
        <stp>bid</stp>
        <tr r="P25" s="2"/>
        <tr r="K196" s="89"/>
      </tp>
      <tp>
        <v>1.35</v>
        <stp/>
        <stp>BDP|6215650409594363711|22</stp>
        <stp>MRVL US 03/20/26 P60 Equity</stp>
        <stp>bid</stp>
        <tr r="P19" s="2"/>
      </tp>
      <tp>
        <v>2.5299999999999998</v>
        <stp/>
        <stp>BDP|8826778433184054251|22</stp>
        <stp>NFLX US 05/15/26 P70 Equity</stp>
        <stp>ask</stp>
        <tr r="L205" s="89"/>
        <tr r="Q11" s="2"/>
      </tp>
      <tp>
        <v>7.25</v>
        <stp/>
        <stp>BDP|2121901389379859737|22</stp>
        <stp>SMH US 02/13/26 P390 Equity</stp>
        <stp>bid</stp>
        <tr r="K75" s="89"/>
      </tp>
      <tp>
        <v>-0.73475784063339233</v>
        <stp/>
        <stp>BDP|8683337490368879999|22</stp>
        <stp>1OG6P 25750 Index</stp>
        <stp>DELTA_MID_RT</stp>
        <tr r="W153" s="89"/>
      </tp>
      <tp>
        <v>90.76</v>
        <stp/>
        <stp>BDP|3517880411788471110|22</stp>
        <stp>COPX EQUITY</stp>
        <stp>LAST_PRICE</stp>
        <tr r="L9" s="1"/>
      </tp>
      <tp>
        <v>4.95</v>
        <stp/>
        <stp>BDP|8500678922565396001|22</stp>
        <stp>INTC US 07/17/26 C60 Equity</stp>
        <stp>bid</stp>
        <tr r="P24" s="2"/>
        <tr r="K195" s="89"/>
      </tp>
      <tp>
        <v>0.62788712978363037</v>
        <stp/>
        <stp>BDP|1115882164603689622|22</stp>
        <stp>META US 07/17/26 C670 Equity</stp>
        <stp>DELTA_MID_RT</stp>
        <tr r="W170" s="89"/>
      </tp>
      <tp>
        <v>-9.2711914330720901E-3</v>
        <stp/>
        <stp>BDP|12042738893454786701|22</stp>
        <stp>QQQ US 02/03/26 P612 Equity</stp>
        <stp>DELTA_MID_RT</stp>
        <tr r="W82" s="89"/>
        <tr r="AF7" s="2"/>
      </tp>
      <tp>
        <v>4644.6400000000003</v>
        <stp/>
        <stp>BDP|13402169581729532440|22</stp>
        <stp>BKNG Equity</stp>
        <stp>LAST PRICE</stp>
        <tr r="G12" s="338"/>
      </tp>
      <tp>
        <v>0.36545190215110779</v>
        <stp/>
        <stp>BDP|17478839230977938286|22</stp>
        <stp>TSM US 06/18/26 C380 Equity</stp>
        <stp>DELTA_MID_RT</stp>
        <tr r="AF32" s="2"/>
      </tp>
      <tp>
        <v>0.42677441239356995</v>
        <stp/>
        <stp>BDP|7125100259003145731|22</stp>
        <stp>META US 07/17/26 C750 Equity</stp>
        <stp>DELTA_MID_RT</stp>
        <tr r="AF12" s="2"/>
        <tr r="AF13" s="2"/>
        <tr r="W13" s="89"/>
      </tp>
      <tp>
        <v>0.39976739883422852</v>
        <stp/>
        <stp>BDP|9423536240340943551|22</stp>
        <stp>AAPL US 04/17/26 C280 Equity</stp>
        <stp>DELTA_MID_RT</stp>
        <tr r="AF21" s="2"/>
        <tr r="W8" s="89"/>
      </tp>
      <tp>
        <v>196.38</v>
        <stp/>
        <stp>BDP|18434337130911834676|22</stp>
        <stp>CRM Equity</stp>
        <stp>LAST PRICE</stp>
        <tr r="G31" s="338"/>
        <tr r="G32" s="338"/>
        <tr r="L9" s="446"/>
      </tp>
      <tp>
        <v>335.75</v>
        <stp/>
        <stp>BDP|13113113388917834281|22</stp>
        <stp>TSM Equity</stp>
        <stp>LAST_PRICE</stp>
        <tr r="I50" s="1"/>
        <tr r="I49" s="1"/>
      </tp>
      <tp>
        <v>-0.44948604702949524</v>
        <stp/>
        <stp>BDP|12670612979273752927|22</stp>
        <stp>QQQ US 02/06/26 P615 Equity</stp>
        <stp>DELTA_MID_RT</stp>
        <tr r="W76" s="89"/>
      </tp>
      <tp t="s">
        <v>#N/A Real Time</v>
        <stp/>
        <stp>BDP|16744070427508501583|22</stp>
        <stp>QQQ US 01/15/26 P622 Equity</stp>
        <stp>DELTA_MID_RT</stp>
        <tr r="W69" s="89"/>
      </tp>
      <tp>
        <v>340.7</v>
        <stp/>
        <stp>BDP|16760158171648826820|22</stp>
        <stp>GOOG Equity</stp>
        <stp>LAST_PRICE</stp>
        <tr r="I24" s="1"/>
      </tp>
      <tp>
        <v>0.05</v>
        <stp/>
        <stp>BDP|9704315770915911503|22</stp>
        <stp>ASHR US 02/20/26 C35 Equity</stp>
        <stp>bid</stp>
        <tr r="P4" s="2"/>
      </tp>
      <tp t="s">
        <v>#N/A Real Time</v>
        <stp/>
        <stp>BDP|3703572431849033805|22</stp>
        <stp>3OF5C    22500 Index</stp>
        <stp>DELTA_MID_RT</stp>
        <tr r="W109" s="89"/>
      </tp>
      <tp>
        <v>23.87</v>
        <stp/>
        <stp>BDP|12167170999494993919|22</stp>
        <stp>KHC Equity</stp>
        <stp>LAST_PRICE</stp>
        <tr r="I61" s="1"/>
      </tp>
      <tp>
        <v>5392</v>
        <stp/>
        <stp>BDP|18259571086573127790|22</stp>
        <stp>HCTA Index</stp>
        <stp>LAST PRICE</stp>
        <tr r="L12" s="446"/>
      </tp>
      <tp>
        <v>3.95</v>
        <stp/>
        <stp>BDP|5295851568697877083|22</stp>
        <stp>MRVL US 03/20/26 P70 Equity</stp>
        <stp>bid</stp>
        <tr r="P17" s="2"/>
        <tr r="K63" s="89"/>
        <tr r="P18" s="2"/>
      </tp>
      <tp>
        <v>-0.33273279666900635</v>
        <stp/>
        <stp>BDP|9405630070157806304|22</stp>
        <stp>2OG6P 25000 Index</stp>
        <stp>DELTA_MID_RT</stp>
        <tr r="W154" s="89"/>
      </tp>
      <tp>
        <v>3.1</v>
        <stp/>
        <stp>BDP|5541024631542138350|22</stp>
        <stp>NFLX US 05/15/26 C90 Equity</stp>
        <stp>bid</stp>
        <tr r="K204" s="89"/>
        <tr r="P10" s="2"/>
      </tp>
      <tp>
        <v>0.25</v>
        <stp/>
        <stp>BDP|8465872380432047250|22</stp>
        <stp>ASHR US 02/20/26 C35 Equity</stp>
        <stp>ask</stp>
        <tr r="Q4" s="2"/>
      </tp>
      <tp>
        <v>0.01</v>
        <stp/>
        <stp>BDP|1102808446056838777|22</stp>
        <stp>QQQ US 02/03/26 P612 Equity</stp>
        <stp>ask</stp>
        <tr r="L82" s="89"/>
        <tr r="Q7" s="2"/>
      </tp>
      <tp>
        <v>335.75</v>
        <stp/>
        <stp>BDP|18226792745994375460|22</stp>
        <stp>TSM Equity</stp>
        <stp>LAST PRICE</stp>
        <tr r="G13" s="338"/>
        <tr r="G34" s="338"/>
      </tp>
      <tp t="s">
        <v>#N/A Invalid Security</v>
        <stp/>
        <stp>BDP|584527685977639945|22</stp>
        <stp xml:space="preserve"> Equity</stp>
        <stp>LAST PRICE</stp>
        <tr r="I14" s="338"/>
        <tr r="G55" s="338"/>
        <tr r="I55" s="338"/>
      </tp>
      <tp>
        <v>0.39778581261634827</v>
        <stp/>
        <stp>BDP|18231477560940764707|22</stp>
        <stp>TSM US 07/17/26 C380 Equity</stp>
        <stp>DELTA_MID_RT</stp>
        <tr r="W20" s="89"/>
      </tp>
      <tp>
        <v>4660.1099999999997</v>
        <stp/>
        <stp>BDP|6933862981827794123|22</stp>
        <stp>SHSZ300 Index</stp>
        <stp>LAST_PRICE</stp>
        <tr r="H8" s="252"/>
        <tr r="H8" s="25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volatileDependencies" Target="volatileDependenci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'Master P&amp;L'!$B$12:$B$62</c:f>
              <c:strCache>
                <c:ptCount val="51"/>
                <c:pt idx="0">
                  <c:v>BABA</c:v>
                </c:pt>
                <c:pt idx="1">
                  <c:v>BIDU</c:v>
                </c:pt>
                <c:pt idx="2">
                  <c:v>ASHR</c:v>
                </c:pt>
                <c:pt idx="3">
                  <c:v>1OH6</c:v>
                </c:pt>
                <c:pt idx="4">
                  <c:v>2OH6</c:v>
                </c:pt>
                <c:pt idx="5">
                  <c:v>NQA</c:v>
                </c:pt>
                <c:pt idx="6">
                  <c:v>NQA</c:v>
                </c:pt>
                <c:pt idx="7">
                  <c:v>RSP</c:v>
                </c:pt>
                <c:pt idx="8">
                  <c:v>RSP</c:v>
                </c:pt>
                <c:pt idx="9">
                  <c:v>QQQ</c:v>
                </c:pt>
                <c:pt idx="10">
                  <c:v>QQQ</c:v>
                </c:pt>
                <c:pt idx="11">
                  <c:v>QQQ</c:v>
                </c:pt>
                <c:pt idx="12">
                  <c:v>GOOG</c:v>
                </c:pt>
                <c:pt idx="13">
                  <c:v>AAPL</c:v>
                </c:pt>
                <c:pt idx="14">
                  <c:v>AAPL</c:v>
                </c:pt>
                <c:pt idx="15">
                  <c:v>AMZN</c:v>
                </c:pt>
                <c:pt idx="16">
                  <c:v>NFLX</c:v>
                </c:pt>
                <c:pt idx="17">
                  <c:v>META</c:v>
                </c:pt>
                <c:pt idx="18">
                  <c:v>META</c:v>
                </c:pt>
                <c:pt idx="19">
                  <c:v>MSFT</c:v>
                </c:pt>
                <c:pt idx="20">
                  <c:v>MSFT</c:v>
                </c:pt>
                <c:pt idx="21">
                  <c:v>IGV</c:v>
                </c:pt>
                <c:pt idx="22">
                  <c:v>IGV</c:v>
                </c:pt>
                <c:pt idx="23">
                  <c:v>000660 KP</c:v>
                </c:pt>
                <c:pt idx="24">
                  <c:v>402340 KP</c:v>
                </c:pt>
                <c:pt idx="25">
                  <c:v>005930 KP</c:v>
                </c:pt>
                <c:pt idx="26">
                  <c:v>EWY</c:v>
                </c:pt>
                <c:pt idx="27">
                  <c:v>EWY</c:v>
                </c:pt>
                <c:pt idx="28">
                  <c:v>LITE</c:v>
                </c:pt>
                <c:pt idx="29">
                  <c:v>LITE</c:v>
                </c:pt>
                <c:pt idx="30">
                  <c:v>CSCO</c:v>
                </c:pt>
                <c:pt idx="31">
                  <c:v>CSCO</c:v>
                </c:pt>
                <c:pt idx="32">
                  <c:v>AKAM</c:v>
                </c:pt>
                <c:pt idx="33">
                  <c:v>AKAM</c:v>
                </c:pt>
                <c:pt idx="34">
                  <c:v>AVGO</c:v>
                </c:pt>
                <c:pt idx="35">
                  <c:v>AVGO</c:v>
                </c:pt>
                <c:pt idx="36">
                  <c:v>AVGO</c:v>
                </c:pt>
                <c:pt idx="37">
                  <c:v>TSM</c:v>
                </c:pt>
                <c:pt idx="38">
                  <c:v>TSM</c:v>
                </c:pt>
                <c:pt idx="39">
                  <c:v>INTC</c:v>
                </c:pt>
                <c:pt idx="40">
                  <c:v>NVDA</c:v>
                </c:pt>
                <c:pt idx="41">
                  <c:v>NVDA</c:v>
                </c:pt>
                <c:pt idx="42">
                  <c:v>MRVL</c:v>
                </c:pt>
                <c:pt idx="43">
                  <c:v>MRVL</c:v>
                </c:pt>
                <c:pt idx="44">
                  <c:v>RIOT</c:v>
                </c:pt>
                <c:pt idx="45">
                  <c:v>WMB</c:v>
                </c:pt>
                <c:pt idx="46">
                  <c:v>XLF</c:v>
                </c:pt>
                <c:pt idx="47">
                  <c:v>XLF</c:v>
                </c:pt>
                <c:pt idx="48">
                  <c:v>KBWB</c:v>
                </c:pt>
                <c:pt idx="49">
                  <c:v>KHC</c:v>
                </c:pt>
                <c:pt idx="50">
                  <c:v>XLP</c:v>
                </c:pt>
              </c:strCache>
            </c:strRef>
          </c:cat>
          <c:val>
            <c:numRef>
              <c:f>'Master P&amp;L'!$J$12:$J$62</c:f>
              <c:numCache>
                <c:formatCode>0.00%</c:formatCode>
                <c:ptCount val="51"/>
                <c:pt idx="0">
                  <c:v>-2.8148939960805142E-2</c:v>
                </c:pt>
                <c:pt idx="1">
                  <c:v>-2.4971393955711019E-2</c:v>
                </c:pt>
                <c:pt idx="2">
                  <c:v>4.8367593712212997E-3</c:v>
                </c:pt>
                <c:pt idx="3">
                  <c:v>-1.6692456479690532E-2</c:v>
                </c:pt>
                <c:pt idx="4">
                  <c:v>-1.6740812379110293E-2</c:v>
                </c:pt>
                <c:pt idx="5">
                  <c:v>3.1770463335700772E-3</c:v>
                </c:pt>
                <c:pt idx="6">
                  <c:v>3.345139708776923E-4</c:v>
                </c:pt>
                <c:pt idx="7">
                  <c:v>3.1827826614125865E-3</c:v>
                </c:pt>
                <c:pt idx="8">
                  <c:v>1.4625781722816811E-3</c:v>
                </c:pt>
                <c:pt idx="9">
                  <c:v>-1.536397610757978E-2</c:v>
                </c:pt>
                <c:pt idx="10">
                  <c:v>-8.0128720836685208E-3</c:v>
                </c:pt>
                <c:pt idx="11">
                  <c:v>-5.3241263592657129E-3</c:v>
                </c:pt>
                <c:pt idx="12">
                  <c:v>-1.2177442737025146E-2</c:v>
                </c:pt>
                <c:pt idx="13">
                  <c:v>-1.9628902633235246E-3</c:v>
                </c:pt>
                <c:pt idx="14">
                  <c:v>-5.9756547399483217E-3</c:v>
                </c:pt>
                <c:pt idx="15">
                  <c:v>-1.7863022719789234E-2</c:v>
                </c:pt>
                <c:pt idx="16">
                  <c:v>-3.407443209279859E-2</c:v>
                </c:pt>
                <c:pt idx="17">
                  <c:v>-2.082360102490044E-2</c:v>
                </c:pt>
                <c:pt idx="18">
                  <c:v>-6.4493888162714397E-3</c:v>
                </c:pt>
                <c:pt idx="19">
                  <c:v>-2.8721921723315336E-2</c:v>
                </c:pt>
                <c:pt idx="20">
                  <c:v>-9.1802804684111283E-3</c:v>
                </c:pt>
                <c:pt idx="21">
                  <c:v>-1.601751555657982E-2</c:v>
                </c:pt>
                <c:pt idx="22">
                  <c:v>-4.6134941912421734E-2</c:v>
                </c:pt>
                <c:pt idx="23">
                  <c:v>9.2771084337349485E-2</c:v>
                </c:pt>
                <c:pt idx="24">
                  <c:v>8.118811881188126E-2</c:v>
                </c:pt>
                <c:pt idx="25">
                  <c:v>0.11369680851063824</c:v>
                </c:pt>
                <c:pt idx="26">
                  <c:v>2.8032746216819504E-2</c:v>
                </c:pt>
                <c:pt idx="27">
                  <c:v>-6.5526610196580126E-3</c:v>
                </c:pt>
                <c:pt idx="28">
                  <c:v>2.7584903877946321E-2</c:v>
                </c:pt>
                <c:pt idx="29">
                  <c:v>-3.4462952326241858E-4</c:v>
                </c:pt>
                <c:pt idx="30">
                  <c:v>3.0629960317460236E-2</c:v>
                </c:pt>
                <c:pt idx="31">
                  <c:v>9.7193536629813782E-3</c:v>
                </c:pt>
                <c:pt idx="32">
                  <c:v>-5.008796440028962E-2</c:v>
                </c:pt>
                <c:pt idx="33">
                  <c:v>-3.7437080536912637E-2</c:v>
                </c:pt>
                <c:pt idx="34">
                  <c:v>-3.2557156232068007E-2</c:v>
                </c:pt>
                <c:pt idx="35">
                  <c:v>1.4344521849271707E-2</c:v>
                </c:pt>
                <c:pt idx="36">
                  <c:v>4.1692789968652555E-3</c:v>
                </c:pt>
                <c:pt idx="37">
                  <c:v>-1.6434262948207157E-2</c:v>
                </c:pt>
                <c:pt idx="38">
                  <c:v>4.5477665080930763E-3</c:v>
                </c:pt>
                <c:pt idx="39">
                  <c:v>9.0145461995492226E-3</c:v>
                </c:pt>
                <c:pt idx="40">
                  <c:v>-2.8392866763644276E-2</c:v>
                </c:pt>
                <c:pt idx="41">
                  <c:v>-2.2131238242779627E-3</c:v>
                </c:pt>
                <c:pt idx="42">
                  <c:v>-3.9664378337147088E-2</c:v>
                </c:pt>
                <c:pt idx="43">
                  <c:v>2.9015120555782703E-2</c:v>
                </c:pt>
                <c:pt idx="44">
                  <c:v>1.3054830287206887E-3</c:v>
                </c:pt>
                <c:pt idx="45">
                  <c:v>3.9572035761394897E-3</c:v>
                </c:pt>
                <c:pt idx="46">
                  <c:v>-9.2541180825467251E-3</c:v>
                </c:pt>
                <c:pt idx="47">
                  <c:v>-6.1269959153360531E-3</c:v>
                </c:pt>
                <c:pt idx="48">
                  <c:v>-3.3840947546532885E-3</c:v>
                </c:pt>
                <c:pt idx="49">
                  <c:v>1.5744680851063952E-2</c:v>
                </c:pt>
                <c:pt idx="50">
                  <c:v>1.621301775147943E-2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61-48D7-B77E-4B3B1E968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20"/>
        <c:axId val="1256224863"/>
        <c:axId val="1256221983"/>
      </c:barChart>
      <c:catAx>
        <c:axId val="12562248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1983"/>
        <c:crosses val="autoZero"/>
        <c:auto val="1"/>
        <c:lblAlgn val="ctr"/>
        <c:lblOffset val="100"/>
        <c:noMultiLvlLbl val="0"/>
      </c:catAx>
      <c:valAx>
        <c:axId val="1256221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4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5" Type="http://schemas.openxmlformats.org/officeDocument/2006/relationships/image" Target="../media/image11.png"/><Relationship Id="rId4" Type="http://schemas.openxmlformats.org/officeDocument/2006/relationships/image" Target="../media/image10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533400</xdr:colOff>
      <xdr:row>0</xdr:row>
      <xdr:rowOff>85725</xdr:rowOff>
    </xdr:from>
    <xdr:to>
      <xdr:col>44</xdr:col>
      <xdr:colOff>153113</xdr:colOff>
      <xdr:row>33</xdr:row>
      <xdr:rowOff>10406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E8FD97C-3122-B973-B094-027A270E7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35925" y="85725"/>
          <a:ext cx="5106113" cy="631595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104775</xdr:colOff>
      <xdr:row>3</xdr:row>
      <xdr:rowOff>95250</xdr:rowOff>
    </xdr:from>
    <xdr:to>
      <xdr:col>45</xdr:col>
      <xdr:colOff>572756</xdr:colOff>
      <xdr:row>29</xdr:row>
      <xdr:rowOff>172155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A0FC0BB-CDAC-F11B-06E6-FFB8CD97D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106650" y="666750"/>
          <a:ext cx="9002381" cy="504895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180975</xdr:rowOff>
        </xdr:from>
        <xdr:to>
          <xdr:col>12</xdr:col>
          <xdr:colOff>247650</xdr:colOff>
          <xdr:row>29</xdr:row>
          <xdr:rowOff>66675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1</xdr:colOff>
      <xdr:row>12</xdr:row>
      <xdr:rowOff>0</xdr:rowOff>
    </xdr:from>
    <xdr:to>
      <xdr:col>46</xdr:col>
      <xdr:colOff>448236</xdr:colOff>
      <xdr:row>53</xdr:row>
      <xdr:rowOff>179294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36</xdr:col>
      <xdr:colOff>404810</xdr:colOff>
      <xdr:row>8</xdr:row>
      <xdr:rowOff>83345</xdr:rowOff>
    </xdr:from>
    <xdr:to>
      <xdr:col>42</xdr:col>
      <xdr:colOff>154778</xdr:colOff>
      <xdr:row>47</xdr:row>
      <xdr:rowOff>134394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8AE75B8-1133-8DED-4B6D-C71738D657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62404" y="1714501"/>
          <a:ext cx="3405187" cy="8349706"/>
        </a:xfrm>
        <a:prstGeom prst="rect">
          <a:avLst/>
        </a:prstGeom>
      </xdr:spPr>
    </xdr:pic>
    <xdr:clientData/>
  </xdr:twoCellAnchor>
  <xdr:twoCellAnchor editAs="oneCell">
    <xdr:from>
      <xdr:col>21</xdr:col>
      <xdr:colOff>190339</xdr:colOff>
      <xdr:row>9</xdr:row>
      <xdr:rowOff>166689</xdr:rowOff>
    </xdr:from>
    <xdr:to>
      <xdr:col>30</xdr:col>
      <xdr:colOff>243957</xdr:colOff>
      <xdr:row>51</xdr:row>
      <xdr:rowOff>12376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AEE125B-7BFE-53C8-3539-CC3CDD713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870745" y="2012158"/>
          <a:ext cx="4518462" cy="873965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581025</xdr:colOff>
          <xdr:row>3</xdr:row>
          <xdr:rowOff>9525</xdr:rowOff>
        </xdr:from>
        <xdr:to>
          <xdr:col>35</xdr:col>
          <xdr:colOff>85725</xdr:colOff>
          <xdr:row>4</xdr:row>
          <xdr:rowOff>9525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Custodia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600075</xdr:colOff>
          <xdr:row>4</xdr:row>
          <xdr:rowOff>152400</xdr:rowOff>
        </xdr:from>
        <xdr:to>
          <xdr:col>35</xdr:col>
          <xdr:colOff>95250</xdr:colOff>
          <xdr:row>8</xdr:row>
          <xdr:rowOff>9525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8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Preços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571500</xdr:colOff>
          <xdr:row>2</xdr:row>
          <xdr:rowOff>190500</xdr:rowOff>
        </xdr:from>
        <xdr:to>
          <xdr:col>37</xdr:col>
          <xdr:colOff>590550</xdr:colOff>
          <xdr:row>5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8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228600</xdr:colOff>
          <xdr:row>0</xdr:row>
          <xdr:rowOff>76200</xdr:rowOff>
        </xdr:from>
        <xdr:to>
          <xdr:col>60</xdr:col>
          <xdr:colOff>514350</xdr:colOff>
          <xdr:row>2</xdr:row>
          <xdr:rowOff>257175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9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 Options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0</xdr:colOff>
      <xdr:row>13</xdr:row>
      <xdr:rowOff>0</xdr:rowOff>
    </xdr:from>
    <xdr:to>
      <xdr:col>54</xdr:col>
      <xdr:colOff>173693</xdr:colOff>
      <xdr:row>49</xdr:row>
      <xdr:rowOff>957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FB3A1B-373C-C38D-EF65-9A3AC14E3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143324" y="2857500"/>
          <a:ext cx="8040222" cy="685895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B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104775</xdr:colOff>
          <xdr:row>2</xdr:row>
          <xdr:rowOff>180975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C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Input_One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292138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800BD2F-7F69-C788-46BA-DDA40731B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0617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209550</xdr:colOff>
          <xdr:row>3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D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Input_Zenith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292139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BFB799C-CCD2-46FB-B32B-03C885250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8332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E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276225</xdr:colOff>
      <xdr:row>1</xdr:row>
      <xdr:rowOff>76200</xdr:rowOff>
    </xdr:from>
    <xdr:to>
      <xdr:col>28</xdr:col>
      <xdr:colOff>49040</xdr:colOff>
      <xdr:row>31</xdr:row>
      <xdr:rowOff>787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6750" y="266700"/>
          <a:ext cx="10136015" cy="5639587"/>
        </a:xfrm>
        <a:prstGeom prst="rect">
          <a:avLst/>
        </a:prstGeom>
      </xdr:spPr>
    </xdr:pic>
    <xdr:clientData/>
  </xdr:twoCellAnchor>
  <xdr:twoCellAnchor editAs="oneCell">
    <xdr:from>
      <xdr:col>11</xdr:col>
      <xdr:colOff>295275</xdr:colOff>
      <xdr:row>34</xdr:row>
      <xdr:rowOff>95250</xdr:rowOff>
    </xdr:from>
    <xdr:to>
      <xdr:col>37</xdr:col>
      <xdr:colOff>516593</xdr:colOff>
      <xdr:row>46</xdr:row>
      <xdr:rowOff>19358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72525" y="6381750"/>
          <a:ext cx="16070918" cy="2210108"/>
        </a:xfrm>
        <a:prstGeom prst="rect">
          <a:avLst/>
        </a:prstGeom>
      </xdr:spPr>
    </xdr:pic>
    <xdr:clientData/>
  </xdr:twoCellAnchor>
  <xdr:twoCellAnchor editAs="oneCell">
    <xdr:from>
      <xdr:col>11</xdr:col>
      <xdr:colOff>171450</xdr:colOff>
      <xdr:row>48</xdr:row>
      <xdr:rowOff>0</xdr:rowOff>
    </xdr:from>
    <xdr:to>
      <xdr:col>27</xdr:col>
      <xdr:colOff>449075</xdr:colOff>
      <xdr:row>78</xdr:row>
      <xdr:rowOff>10324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48700" y="8953500"/>
          <a:ext cx="10031225" cy="5725324"/>
        </a:xfrm>
        <a:prstGeom prst="rect">
          <a:avLst/>
        </a:prstGeom>
      </xdr:spPr>
    </xdr:pic>
    <xdr:clientData/>
  </xdr:twoCellAnchor>
  <xdr:twoCellAnchor editAs="oneCell">
    <xdr:from>
      <xdr:col>28</xdr:col>
      <xdr:colOff>219075</xdr:colOff>
      <xdr:row>47</xdr:row>
      <xdr:rowOff>123825</xdr:rowOff>
    </xdr:from>
    <xdr:to>
      <xdr:col>37</xdr:col>
      <xdr:colOff>362736</xdr:colOff>
      <xdr:row>71</xdr:row>
      <xdr:rowOff>162568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59525" y="8886825"/>
          <a:ext cx="5630061" cy="4610743"/>
        </a:xfrm>
        <a:prstGeom prst="rect">
          <a:avLst/>
        </a:prstGeom>
      </xdr:spPr>
    </xdr:pic>
    <xdr:clientData/>
  </xdr:twoCellAnchor>
  <xdr:twoCellAnchor editAs="oneCell">
    <xdr:from>
      <xdr:col>0</xdr:col>
      <xdr:colOff>581025</xdr:colOff>
      <xdr:row>78</xdr:row>
      <xdr:rowOff>9525</xdr:rowOff>
    </xdr:from>
    <xdr:to>
      <xdr:col>9</xdr:col>
      <xdr:colOff>637373</xdr:colOff>
      <xdr:row>99</xdr:row>
      <xdr:rowOff>19727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D9A0ED1-1F37-CBBF-AF90-35389C388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1025" y="14106525"/>
          <a:ext cx="7666823" cy="4010702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1609725</xdr:colOff>
      <xdr:row>0</xdr:row>
      <xdr:rowOff>0</xdr:rowOff>
    </xdr:from>
    <xdr:ext cx="621492" cy="553628"/>
    <xdr:pic>
      <xdr:nvPicPr>
        <xdr:cNvPr id="2" name="Picture 1">
          <a:extLst>
            <a:ext uri="{FF2B5EF4-FFF2-40B4-BE49-F238E27FC236}">
              <a16:creationId xmlns:a16="http://schemas.microsoft.com/office/drawing/2014/main" id="{57D00477-1DB2-41B1-B384-0F1DC5D5E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34900" y="180975"/>
          <a:ext cx="621492" cy="553628"/>
        </a:xfrm>
        <a:prstGeom prst="rect">
          <a:avLst/>
        </a:prstGeom>
      </xdr:spPr>
    </xdr:pic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38100</xdr:rowOff>
        </xdr:from>
        <xdr:to>
          <xdr:col>14</xdr:col>
          <xdr:colOff>266700</xdr:colOff>
          <xdr:row>4</xdr:row>
          <xdr:rowOff>76200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12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Copiar Memoria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Grozdea" refreshedDate="46056.765528703705" createdVersion="8" refreshedVersion="8" minRefreshableVersion="3" recordCount="51" xr:uid="{C35D4399-4CEF-409A-AF8E-A02DC4C552E4}">
  <cacheSource type="worksheet">
    <worksheetSource name="Tabelad"/>
  </cacheSource>
  <cacheFields count="34">
    <cacheField name="Ticker" numFmtId="172">
      <sharedItems containsBlank="1" count="192">
        <s v="BABA"/>
        <s v="BIDU"/>
        <s v="ASHR"/>
        <s v="1OH6"/>
        <s v="2OH6"/>
        <s v="NQA"/>
        <s v="RSP"/>
        <s v="QQQ"/>
        <s v="GOOG"/>
        <s v="AAPL"/>
        <s v="AMZN"/>
        <s v="NFLX"/>
        <s v="META"/>
        <s v="MSFT"/>
        <s v="IGV"/>
        <s v="000660 KP"/>
        <s v="402340 KP"/>
        <s v="005930 KP"/>
        <s v="EWY"/>
        <s v="LITE"/>
        <s v="CSCO"/>
        <s v="AKAM"/>
        <s v="AVGO"/>
        <s v="TSM"/>
        <s v="INTC"/>
        <s v="NVDA"/>
        <s v="MRVL"/>
        <s v="RIOT"/>
        <s v="WMB"/>
        <s v="XLF"/>
        <s v="KBWB"/>
        <s v="KHC"/>
        <s v="XLP"/>
        <s v="GDX" u="1"/>
        <s v="402340 KS" u="1"/>
        <s v="005930 KS" u="1"/>
        <s v="300502 CH" u="1"/>
        <s v="NET" u="1"/>
        <s v="AMD" u="1"/>
        <s v="SNDK" u="1"/>
        <s v="COPX" u="1"/>
        <s v="000660 KS" u="1"/>
        <s v="KMH6" u="1"/>
        <s v="AMAT" u="1"/>
        <s v="GDX " u="1"/>
        <s v="QQQE" u="1"/>
        <s v="COHR" u="1"/>
        <s v="ASML NA" u="1"/>
        <s v="CEG" u="1"/>
        <s v="V" u="1"/>
        <s v="MA" u="1"/>
        <s v="SOXX" u="1"/>
        <s v="WBD" u="1"/>
        <s v="SMH" u="1"/>
        <s v="CRDO" u="1"/>
        <s v="PSKY" u="1"/>
        <s v="BE" u="1"/>
        <s v="CIEN" u="1"/>
        <s v="ANET" u="1"/>
        <m u="1"/>
        <s v="UBER" u="1"/>
        <s v="TTWO" u="1"/>
        <s v="GSENEPOW" u="1"/>
        <s v="LYSDY" u="1"/>
        <s v="MP" u="1"/>
        <s v="SHOP" u="1"/>
        <s v="ORCL" u="1"/>
        <s v="KWEB" u="1"/>
        <s v="BP" u="1"/>
        <s v="SHEL" u="1"/>
        <s v="TTE" u="1"/>
        <s v="GLD" u="1"/>
        <s v="DELL" u="1"/>
        <s v="FCX" u="1"/>
        <s v="COF" u="1"/>
        <s v="BRK/B" u="1"/>
        <s v="KKR" u="1"/>
        <s v="BX" u="1"/>
        <s v="CRWV" u="1"/>
        <s v="NBIS" u="1"/>
        <s v="SPGI" u="1"/>
        <s v="MCO" u="1"/>
        <s v="EBAY" u="1"/>
        <s v="HCTA" u="1"/>
        <s v="QNCZ5" u="1"/>
        <s v="SFTBY" u="1"/>
        <s v="SPY" u="1"/>
        <s v="XHB" u="1"/>
        <s v="NTSK" u="1"/>
        <s v="1EZ5" u="1"/>
        <s v="IWM" u="1"/>
        <s v="NOW" u="1"/>
        <s v="FIGR" u="1"/>
        <s v="ESA" u="1"/>
        <s v="KLAR" u="1"/>
        <s v="GCZ5" u="1"/>
        <s v="4EZ5" u="1"/>
        <s v="MSXXQE7 " u="1"/>
        <s v="CPNG" u="1"/>
        <s v="SCHW" u="1"/>
        <s v="XRT" u="1"/>
        <s v="EWT" u="1"/>
        <s v="KGC" u="1"/>
        <s v="NEM" u="1"/>
        <s v="AEM" u="1"/>
        <s v="PPRUY" u="1"/>
        <s v="CGSPRSPX" u="1"/>
        <s v="XLI" u="1"/>
        <s v="IMDU5" u="1"/>
        <s v="BKNG" u="1"/>
        <s v="AXP" u="1"/>
        <s v="COIN" u="1"/>
        <s v="QCOM" u="1"/>
        <s v="GSXUDEFS" u="1"/>
        <s v="GSXUCYCL" u="1"/>
        <s v="QHTU5" u="1"/>
        <s v="ADBE" u="1"/>
        <s v="WDAY" u="1"/>
        <s v="CRM" u="1"/>
        <s v="INTU" u="1"/>
        <s v="KRE" u="1"/>
        <s v="OMC" u="1"/>
        <s v="EXPE" u="1"/>
        <s v="CAT" u="1"/>
        <s v="URI" u="1"/>
        <s v="RTYA" u="1"/>
        <s v="PINS" u="1"/>
        <s v="ITB" u="1"/>
        <s v="FLY" u="1"/>
        <s v="APO" u="1"/>
        <s v="NTGR" u="1"/>
        <s v="TRIP" u="1"/>
        <s v="PUBGY" u="1"/>
        <s v="LVMUY" u="1"/>
        <s v="GSXUNPTC" u="1"/>
        <s v="GSPUCYDE Index" u="1"/>
        <s v="DHR" u="1"/>
        <s v="TMO" u="1"/>
        <s v="TXT" u="1"/>
        <s v="ILMN" u="1"/>
        <s v="MTD" u="1"/>
        <s v="1EU5" u="1"/>
        <s v="ARX" u="1"/>
        <s v="TEVA" u="1"/>
        <s v="GEO" u="1"/>
        <s v="CXW" u="1"/>
        <s v="ABNB" u="1"/>
        <s v="USB" u="1"/>
        <s v="TTD" u="1"/>
        <s v="WFC" u="1"/>
        <s v="MS" u="1"/>
        <s v="MU" u="1"/>
        <s v="APP" u="1"/>
        <s v="ASML" u="1"/>
        <s v="SMCI" u="1"/>
        <s v="RUWU5" u="1"/>
        <s v="GD" u="1"/>
        <s v="ACN" u="1"/>
        <s v="HOOD" u="1"/>
        <s v="MCD" u="1"/>
        <s v="ARCO" u="1"/>
        <s v="JETS" u="1"/>
        <s v="XOP" u="1"/>
        <s v="GCQ5" u="1"/>
        <s v="KMU5" u="1"/>
        <s v="3EU5" u="1"/>
        <s v="INOD" u="1"/>
        <s v="KER FP" u="1"/>
        <s v="MC FP" u="1"/>
        <s v="IMBM5" u="1"/>
        <s v="2330 TT" u="1"/>
        <s v="IWWM5" u="1"/>
        <s v="RDDT" u="1"/>
        <s v="2EM5" u="1"/>
        <s v="ESM5" u="1"/>
        <s v="1EM5" u="1"/>
        <s v="JOBY" u="1"/>
        <s v="GSTMTAIS" u="1"/>
        <s v="GCA" u="1"/>
        <s v="QNBM5" u="1"/>
        <s v="TEM" u="1"/>
        <s v="STX" u="1"/>
        <s v="BUD" u="1"/>
        <s v="HCTK5" u="1"/>
        <s v="XLV" u="1"/>
        <s v="3EM5" u="1"/>
        <s v="4OM5" u="1"/>
        <s v="JD" u="1"/>
        <s v="HLT" u="1"/>
        <s v="MAR" u="1"/>
        <s v="GOOGL" u="1"/>
        <s v="PLTR" u="1"/>
      </sharedItems>
    </cacheField>
    <cacheField name="Sector" numFmtId="0">
      <sharedItems containsBlank="1" count="27">
        <s v="China"/>
        <s v="Index"/>
        <s v="Internet/SW"/>
        <s v="Memory"/>
        <s v="Networking"/>
        <s v="Semis"/>
        <s v="Power "/>
        <s v="Pairs"/>
        <s v="Metals" u="1"/>
        <s v="Payts" u="1"/>
        <s v="Internet" u="1"/>
        <s v="Software" u="1"/>
        <s v="Spec Sits" u="1"/>
        <s v="Power" u="1"/>
        <s v="Media" u="1"/>
        <m u="1"/>
        <s v="Metal" u="1"/>
        <s v="Oil" u="1"/>
        <s v="Financials" u="1"/>
        <s v="IPO" u="1"/>
        <s v="Gold" u="1"/>
        <s v="Tech" u="1"/>
        <s v="Rare Earth" u="1"/>
        <s v="Fin Services" u="1"/>
        <s v="Korea" u="1"/>
        <s v="Travel" u="1"/>
        <s v="Semis/Hardware" u="1"/>
      </sharedItems>
    </cacheField>
    <cacheField name="Diretoria" numFmtId="0">
      <sharedItems containsNonDate="0" containsString="0" containsBlank="1"/>
    </cacheField>
    <cacheField name="Crncy" numFmtId="0">
      <sharedItems/>
    </cacheField>
    <cacheField name="Long / Short" numFmtId="0">
      <sharedItems/>
    </cacheField>
    <cacheField name="Qtdd " numFmtId="166">
      <sharedItems containsNonDate="0" containsString="0" containsBlank="1"/>
    </cacheField>
    <cacheField name="Qtt Shs" numFmtId="166">
      <sharedItems containsString="0" containsBlank="1" containsNumber="1" containsInteger="1" minValue="-80000" maxValue="80000"/>
    </cacheField>
    <cacheField name="Price Today" numFmtId="43">
      <sharedItems containsSemiMixedTypes="0" containsString="0" containsNumber="1" minValue="15.34" maxValue="907000"/>
    </cacheField>
    <cacheField name="% Chg" numFmtId="10">
      <sharedItems containsSemiMixedTypes="0" containsString="0" containsNumber="1" minValue="-5.008796440028962E-2" maxValue="0.11369680851063824"/>
    </cacheField>
    <cacheField name="Price Yest" numFmtId="43">
      <sharedItems containsSemiMixedTypes="0" containsString="0" containsNumber="1" minValue="15.32" maxValue="830000"/>
    </cacheField>
    <cacheField name="FX" numFmtId="168">
      <sharedItems containsSemiMixedTypes="0" containsString="0" containsNumber="1" minValue="1" maxValue="1447.45"/>
    </cacheField>
    <cacheField name="Mult" numFmtId="166">
      <sharedItems containsSemiMixedTypes="0" containsString="0" containsNumber="1" containsInteger="1" minValue="1" maxValue="20"/>
    </cacheField>
    <cacheField name="D1 Exp USD" numFmtId="166">
      <sharedItems containsSemiMixedTypes="0" containsString="0" containsNumber="1" minValue="-33031375" maxValue="24660800"/>
    </cacheField>
    <cacheField name="D1 Exp %" numFmtId="198">
      <sharedItems containsSemiMixedTypes="0" containsString="0" containsNumber="1" minValue="-1.3785105501450992E-2" maxValue="1.0291782577933332E-2"/>
    </cacheField>
    <cacheField name="D1 P&amp;L bps" numFmtId="170">
      <sharedItems containsSemiMixedTypes="0" containsString="0" containsNumber="1" minValue="-0.5508804662813972" maxValue="0.909691449989524"/>
    </cacheField>
    <cacheField name="Options Exp USD (delta adj)" numFmtId="166">
      <sharedItems containsString="0" containsBlank="1" containsNumber="1" minValue="-853659.17320176959" maxValue="12882739.624027163"/>
    </cacheField>
    <cacheField name="Option Exp %" numFmtId="10">
      <sharedItems containsString="0" containsBlank="1" containsNumber="1" minValue="-3.5626072983240388E-4" maxValue="5.3764012205043702E-3"/>
    </cacheField>
    <cacheField name="Options P&amp;L bps" numFmtId="170">
      <sharedItems containsString="0" containsBlank="1" containsNumber="1" minValue="-0.34395599113444053" maxValue="0.26125088779708144"/>
    </cacheField>
    <cacheField name="Exp" numFmtId="166">
      <sharedItems containsSemiMixedTypes="0" containsString="0" containsNumber="1" minValue="-33031375" maxValue="24660800"/>
    </cacheField>
    <cacheField name="Exp %" numFmtId="173">
      <sharedItems containsSemiMixedTypes="0" containsString="0" containsNumber="1" minValue="-1.3785105501450992E-2" maxValue="1.0291782577933332E-2"/>
    </cacheField>
    <cacheField name="P&amp;L bps" numFmtId="170">
      <sharedItems containsSemiMixedTypes="0" containsString="0" containsNumber="1" minValue="-0.69694725658326684" maxValue="0.909691449989524"/>
    </cacheField>
    <cacheField name="xx" numFmtId="166">
      <sharedItems containsSemiMixedTypes="0" containsString="0" containsNumber="1" minValue="3.159206869720077" maxValue="104656.45052281617"/>
    </cacheField>
    <cacheField name="Ticker2" numFmtId="0">
      <sharedItems containsNonDate="0" containsString="0" containsBlank="1"/>
    </cacheField>
    <cacheField name="xx2" numFmtId="3">
      <sharedItems containsSemiMixedTypes="0" containsString="0" containsNumber="1" minValue="-28000" maxValue="28000"/>
    </cacheField>
    <cacheField name="Beta Adj" numFmtId="170">
      <sharedItems containsMixedTypes="1" containsNumber="1" minValue="-0.95030851922256154" maxValue="1.3786116124943097"/>
    </cacheField>
    <cacheField name="Expo Beta Adj" numFmtId="10">
      <sharedItems containsMixedTypes="1" containsNumber="1" minValue="-1.0301031996770765E-2" maxValue="1.0301031996770765E-2"/>
    </cacheField>
    <cacheField name="Vol 10d" numFmtId="43">
      <sharedItems containsMixedTypes="1" containsNumber="1" minValue="5.1275616177362027" maxValue="132.45679594035224"/>
    </cacheField>
    <cacheField name="Beta Adj2" numFmtId="43">
      <sharedItems containsMixedTypes="1" containsNumber="1" minValue="0.37148067355155945" maxValue="2.0447275638580322"/>
    </cacheField>
    <cacheField name="Daily P&amp;L" numFmtId="166">
      <sharedItems containsSemiMixedTypes="0" containsString="0" containsNumber="1" minValue="-123729.68455442098" maxValue="204319.88977362393"/>
    </cacheField>
    <cacheField name="VALUE" numFmtId="4">
      <sharedItems containsNonDate="0" containsString="0" containsBlank="1"/>
    </cacheField>
    <cacheField name="Report Date2" numFmtId="170">
      <sharedItems/>
    </cacheField>
    <cacheField name="Column3" numFmtId="10">
      <sharedItems containsMixedTypes="1" containsNumber="1" minValue="-6.8873820000000001E-3" maxValue="4.258663E-2"/>
    </cacheField>
    <cacheField name="Column4" numFmtId="170">
      <sharedItems containsMixedTypes="1" containsNumber="1" minValue="-0.57447490986495897" maxValue="1.4207206424737253"/>
    </cacheField>
    <cacheField name="Column5" numFmtId="196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">
  <r>
    <x v="0"/>
    <x v="0"/>
    <m/>
    <s v="USD"/>
    <s v="Long"/>
    <m/>
    <n v="3378"/>
    <n v="163.65"/>
    <n v="-2.8148939960805142E-2"/>
    <n v="168.39"/>
    <n v="1"/>
    <n v="1"/>
    <n v="552809.70000000007"/>
    <n v="2.3070611007641896E-4"/>
    <n v="-6.6822301360355718E-2"/>
    <n v="0"/>
    <n v="0"/>
    <n v="0"/>
    <n v="552809.70000000007"/>
    <n v="2.3070611007641896E-4"/>
    <n v="-6.6822301360355718E-2"/>
    <n v="9810.1432998472355"/>
    <m/>
    <n v="1182.3000000000002"/>
    <n v="5.7923170817723427E-2"/>
    <n v="1.9819195612059815E-4"/>
    <n v="40.171052807252991"/>
    <n v="0.85906678438186646"/>
    <n v="-15008.523217982303"/>
    <m/>
    <s v="20/02/2026"/>
    <e v="#VALUE!"/>
    <e v="#VALUE!"/>
    <s v="12/06/2025"/>
  </r>
  <r>
    <x v="1"/>
    <x v="0"/>
    <m/>
    <s v="USD"/>
    <s v="Long"/>
    <m/>
    <n v="3510"/>
    <n v="144.86000000000001"/>
    <n v="-2.4971393955711019E-2"/>
    <n v="148.57"/>
    <n v="1"/>
    <n v="1"/>
    <n v="508458.60000000003"/>
    <n v="2.121969020096823E-4"/>
    <n v="-5.4345609999718138E-2"/>
    <n v="0"/>
    <n v="0"/>
    <n v="0"/>
    <n v="508458.60000000003"/>
    <n v="2.121969020096823E-4"/>
    <n v="-5.4345609999718138E-2"/>
    <n v="11082.631168162363"/>
    <m/>
    <n v="1228.5"/>
    <n v="3.5496678580455687E-2"/>
    <n v="2.1951225713010087E-4"/>
    <n v="26.765087138801686"/>
    <n v="1.0344743728637695"/>
    <n v="-12206.214585121841"/>
    <m/>
    <s v="26/02/2026"/>
    <e v="#VALUE!"/>
    <e v="#VALUE!"/>
    <s v="#N/A Field Not Applicable"/>
  </r>
  <r>
    <x v="2"/>
    <x v="0"/>
    <m/>
    <s v="USD"/>
    <s v="Long"/>
    <m/>
    <n v="21000"/>
    <n v="33.24"/>
    <n v="4.8367593712212997E-3"/>
    <n v="33.08"/>
    <n v="1"/>
    <n v="1"/>
    <n v="698040"/>
    <n v="2.9131560657807466E-4"/>
    <n v="1.4022411868981054E-2"/>
    <n v="567941.09165668488"/>
    <n v="2.370209495395408E-4"/>
    <n v="2.2679576911389481E-2"/>
    <n v="1265981.0916566849"/>
    <n v="5.2833655611761541E-4"/>
    <n v="3.6701988780370537E-2"/>
    <n v="48298.13330385078"/>
    <m/>
    <n v="13330.125814676283"/>
    <n v="4.0490719011735121E-2"/>
    <n v="6.0434776752671989E-4"/>
    <n v="12.262098783176773"/>
    <n v="1.1438689231872559"/>
    <n v="3149.4828795670869"/>
    <m/>
    <s v="#N/A N/A"/>
    <n v="6.3482190000000004E-3"/>
    <n v="3.3539961639404127E-2"/>
    <s v="19/12/2025"/>
  </r>
  <r>
    <x v="3"/>
    <x v="1"/>
    <m/>
    <s v="USD"/>
    <s v="Short"/>
    <m/>
    <m/>
    <n v="25408.75"/>
    <n v="-1.7069632495164355E-2"/>
    <n v="25850"/>
    <n v="1"/>
    <n v="20"/>
    <n v="0"/>
    <n v="0"/>
    <n v="0"/>
    <n v="0"/>
    <n v="0"/>
    <n v="0.26125088779708144"/>
    <n v="0"/>
    <n v="0"/>
    <n v="0.26125088779708144"/>
    <n v="3.159206869720077"/>
    <m/>
    <n v="0"/>
    <n v="0"/>
    <e v="#VALUE!"/>
    <n v="15.064205169677734"/>
    <s v="#N/A Field Not Applicable"/>
    <n v="0"/>
    <m/>
    <s v="#N/A Field Not Applicable"/>
    <e v="#VALUE!"/>
    <e v="#VALUE!"/>
    <s v="#N/A Field Not Applicable"/>
  </r>
  <r>
    <x v="4"/>
    <x v="1"/>
    <m/>
    <s v="USD"/>
    <s v="Short"/>
    <m/>
    <m/>
    <n v="25408.75"/>
    <n v="-1.7069632495164355E-2"/>
    <n v="25850"/>
    <n v="1"/>
    <n v="20"/>
    <n v="0"/>
    <n v="0"/>
    <n v="0"/>
    <n v="-853659.17320176959"/>
    <n v="-3.5626072983240388E-4"/>
    <n v="6.8025390912019618E-2"/>
    <n v="-853659.17320176959"/>
    <n v="-3.5626072983240388E-4"/>
    <n v="6.8025390912019618E-2"/>
    <n v="3.159206869720077"/>
    <m/>
    <n v="-11.758969277143478"/>
    <n v="-3.3542404550590384E-2"/>
    <e v="#VALUE!"/>
    <n v="15.064205169677734"/>
    <s v="#N/A Field Not Applicable"/>
    <n v="0"/>
    <m/>
    <s v="#N/A Field Not Applicable"/>
    <e v="#VALUE!"/>
    <e v="#VALUE!"/>
    <s v="#N/A Field Not Applicable"/>
  </r>
  <r>
    <x v="5"/>
    <x v="1"/>
    <m/>
    <s v="USD"/>
    <s v="Short"/>
    <m/>
    <n v="35"/>
    <n v="25408.75"/>
    <n v="2.7922487962743769E-3"/>
    <n v="25338"/>
    <n v="1"/>
    <n v="20"/>
    <n v="17786125"/>
    <n v="7.4227491161659191E-3"/>
    <n v="0.20668450827716389"/>
    <n v="0"/>
    <n v="0"/>
    <n v="0"/>
    <n v="17786125"/>
    <n v="7.4227491161659191E-3"/>
    <n v="0.20668450827716389"/>
    <n v="3.159206869720077"/>
    <m/>
    <n v="244.99999999999997"/>
    <e v="#VALUE!"/>
    <e v="#VALUE!"/>
    <s v="#N/A Invalid Security"/>
    <s v="#N/A Field Not Applicable"/>
    <n v="46422.065360284636"/>
    <m/>
    <s v="#N/A Invalid Security"/>
    <e v="#VALUE!"/>
    <e v="#VALUE!"/>
    <s v="#N/A Invalid Security"/>
  </r>
  <r>
    <x v="5"/>
    <x v="1"/>
    <m/>
    <s v="USD"/>
    <s v="Short"/>
    <m/>
    <n v="-65"/>
    <n v="25408.75"/>
    <n v="-4.9193231011379623E-5"/>
    <n v="25410"/>
    <n v="1"/>
    <n v="20"/>
    <n v="-33031375"/>
    <n v="-1.3785105501450992E-2"/>
    <n v="6.781672406873121E-3"/>
    <n v="0"/>
    <n v="0"/>
    <n v="0"/>
    <n v="-33031375"/>
    <n v="-1.3785105501450992E-2"/>
    <n v="6.781672406873121E-3"/>
    <n v="3.159206869720077"/>
    <m/>
    <n v="-454.99999999999994"/>
    <e v="#VALUE!"/>
    <e v="#VALUE!"/>
    <s v="#N/A Invalid Security"/>
    <s v="#N/A Field Not Applicable"/>
    <n v="1523.1874045524994"/>
    <m/>
    <s v="#N/A Invalid Security"/>
    <e v="#VALUE!"/>
    <e v="#VALUE!"/>
    <s v="#N/A Invalid Security"/>
  </r>
  <r>
    <x v="6"/>
    <x v="1"/>
    <m/>
    <s v="USD"/>
    <s v="Short"/>
    <m/>
    <n v="80000"/>
    <n v="198.57"/>
    <n v="3.1827826614125865E-3"/>
    <n v="197.94"/>
    <n v="1"/>
    <n v="1"/>
    <n v="15885600"/>
    <n v="6.6295960114845327E-3"/>
    <n v="0.21033617803470941"/>
    <m/>
    <m/>
    <m/>
    <n v="15885600"/>
    <n v="6.6295960114845327E-3"/>
    <n v="0.21033617803470941"/>
    <n v="8084.9571990733748"/>
    <m/>
    <n v="28000"/>
    <n v="0.21246038780990692"/>
    <n v="6.604771997116626E-3"/>
    <n v="5.1275616177362027"/>
    <n v="0.99625557661056519"/>
    <n v="47242.243193504866"/>
    <m/>
    <s v="#N/A N/A"/>
    <e v="#VALUE!"/>
    <e v="#VALUE!"/>
    <s v="22/12/2025"/>
  </r>
  <r>
    <x v="6"/>
    <x v="1"/>
    <m/>
    <s v="USD"/>
    <s v="Short"/>
    <m/>
    <n v="-80000"/>
    <n v="198.57"/>
    <n v="1.4625781722816811E-3"/>
    <n v="198.28"/>
    <n v="1"/>
    <n v="1"/>
    <n v="-15885600"/>
    <n v="-6.6295960114845327E-3"/>
    <n v="-9.682141528581667E-2"/>
    <m/>
    <m/>
    <m/>
    <n v="-15885600"/>
    <n v="-6.6295960114845327E-3"/>
    <n v="-9.682141528581667E-2"/>
    <n v="8084.9571990733748"/>
    <m/>
    <n v="-28000"/>
    <n v="-0.21246038780990692"/>
    <n v="-6.604771997116626E-3"/>
    <n v="5.1275616177362027"/>
    <n v="0.99625557661056519"/>
    <n v="-21746.429406533549"/>
    <m/>
    <s v="#N/A N/A"/>
    <e v="#VALUE!"/>
    <e v="#VALUE!"/>
    <s v="22/12/2025"/>
  </r>
  <r>
    <x v="7"/>
    <x v="1"/>
    <m/>
    <s v="USD"/>
    <s v="Short"/>
    <m/>
    <m/>
    <n v="616.52"/>
    <n v="-1.536397610757978E-2"/>
    <n v="626.14"/>
    <n v="1"/>
    <n v="1"/>
    <n v="0"/>
    <n v="0"/>
    <n v="0"/>
    <n v="-146655.19087016582"/>
    <n v="-6.1204151461471653E-5"/>
    <n v="0.1029144871098408"/>
    <n v="-146655.19087016582"/>
    <n v="-6.1204151461471653E-5"/>
    <n v="0.1029144871098408"/>
    <n v="2604.0192548822424"/>
    <m/>
    <n v="-83.256531506776795"/>
    <n v="-5.6513850837008293E-3"/>
    <n v="-6.1259156785104381E-5"/>
    <n v="14.773860788860786"/>
    <n v="1.0008987188339233"/>
    <n v="0"/>
    <m/>
    <s v="#N/A N/A"/>
    <n v="3.1781870000000003E-3"/>
    <n v="-1.9451823852088025E-3"/>
    <s v="22/12/2025"/>
  </r>
  <r>
    <x v="7"/>
    <x v="1"/>
    <m/>
    <s v="USD"/>
    <s v="Short"/>
    <m/>
    <n v="-40000"/>
    <n v="616.52"/>
    <n v="-8.0128720836685208E-3"/>
    <n v="621.5"/>
    <n v="1"/>
    <n v="1"/>
    <n v="-24660800"/>
    <n v="-1.0291782577933332E-2"/>
    <n v="0.83132870366100353"/>
    <m/>
    <m/>
    <m/>
    <n v="-24660800"/>
    <n v="-1.0291782577933332E-2"/>
    <n v="0.83132870366100353"/>
    <n v="2604.0192548822424"/>
    <m/>
    <n v="-14000"/>
    <n v="-0.95030851922256154"/>
    <n v="-1.0301031996770765E-2"/>
    <n v="14.773860788860786"/>
    <n v="1.0008987188339233"/>
    <n v="186719.34214575938"/>
    <m/>
    <s v="#N/A N/A"/>
    <n v="3.1781870000000003E-3"/>
    <n v="-0.3270920959601421"/>
    <s v="22/12/2025"/>
  </r>
  <r>
    <x v="7"/>
    <x v="1"/>
    <m/>
    <s v="USD"/>
    <s v="Short"/>
    <m/>
    <n v="40000"/>
    <n v="616.52"/>
    <n v="-5.3241263592657129E-3"/>
    <n v="619.82000000000005"/>
    <n v="1"/>
    <n v="1"/>
    <n v="24660800"/>
    <n v="1.0291782577933332E-2"/>
    <n v="-0.5508804662813972"/>
    <m/>
    <m/>
    <m/>
    <n v="24660800"/>
    <n v="1.0291782577933332E-2"/>
    <n v="-0.5508804662813972"/>
    <n v="2604.0192548822424"/>
    <m/>
    <n v="14000"/>
    <n v="0.95030851922256154"/>
    <n v="1.0301031996770765E-2"/>
    <n v="14.773860788860786"/>
    <n v="1.0008987188339233"/>
    <n v="-123729.68455442098"/>
    <m/>
    <s v="#N/A N/A"/>
    <n v="3.1781870000000003E-3"/>
    <n v="0.3270920959601421"/>
    <s v="22/12/2025"/>
  </r>
  <r>
    <x v="8"/>
    <x v="2"/>
    <m/>
    <s v="USD"/>
    <s v="Long"/>
    <m/>
    <n v="14500"/>
    <n v="340.7"/>
    <n v="-1.2177442737025146E-2"/>
    <n v="344.9"/>
    <n v="1"/>
    <n v="1"/>
    <n v="4940150"/>
    <n v="2.0616910117424152E-3"/>
    <n v="-0.25415621512527503"/>
    <n v="0"/>
    <n v="0"/>
    <n v="0"/>
    <n v="4940150"/>
    <n v="2.0616910117424152E-3"/>
    <n v="-0.25415621512527503"/>
    <n v="4712.1513091282659"/>
    <m/>
    <n v="5074.9999999999991"/>
    <n v="0.20533068396709916"/>
    <n v="2.121206350716354E-3"/>
    <n v="15.934933628570555"/>
    <n v="1.028867244720459"/>
    <n v="-57084.377192151973"/>
    <m/>
    <s v="04/02/2026"/>
    <n v="1.1974499999999999E-2"/>
    <n v="0.2468771902010955"/>
    <s v="08/12/2025"/>
  </r>
  <r>
    <x v="9"/>
    <x v="2"/>
    <m/>
    <s v="USD"/>
    <s v="Long"/>
    <m/>
    <n v="3000"/>
    <n v="269.48"/>
    <n v="-1.9628902633235246E-3"/>
    <n v="270.01"/>
    <n v="1"/>
    <n v="1"/>
    <n v="808440"/>
    <n v="3.373892455761542E-4"/>
    <n v="-6.6356056165708969E-3"/>
    <n v="2523876.0336399088"/>
    <n v="1.0532984895817935E-3"/>
    <n v="1.4606679030188599E-2"/>
    <n v="3332316.0336399088"/>
    <n v="1.3906877351579478E-3"/>
    <n v="7.9710734136177012E-3"/>
    <n v="5957.5105797090691"/>
    <m/>
    <n v="4328.0043482780466"/>
    <n v="0.21906291575745102"/>
    <n v="1.4892086977761152E-3"/>
    <n v="25.203405218218411"/>
    <n v="1.0708433389663696"/>
    <n v="-1490.3802912235997"/>
    <m/>
    <s v="01/05/2026"/>
    <n v="-1.925927E-3"/>
    <n v="-2.6783630577095409E-2"/>
    <s v="09/02/2026"/>
  </r>
  <r>
    <x v="9"/>
    <x v="2"/>
    <m/>
    <s v="USD"/>
    <s v="Long"/>
    <m/>
    <n v="5500"/>
    <n v="269.48"/>
    <n v="-5.9756547399483217E-3"/>
    <n v="271.10000000000002"/>
    <n v="1"/>
    <n v="1"/>
    <n v="1482140"/>
    <n v="6.1854695022294935E-4"/>
    <n v="-3.7184431473993647E-2"/>
    <m/>
    <m/>
    <m/>
    <n v="1482140"/>
    <n v="6.1854695022294935E-4"/>
    <n v="-3.7184431473993647E-2"/>
    <n v="5957.5105797090691"/>
    <m/>
    <n v="1924.9999999999995"/>
    <n v="9.7434308956013543E-2"/>
    <n v="6.6236688148420795E-4"/>
    <n v="25.203405218218411"/>
    <n v="1.0708433389663696"/>
    <n v="-8351.753707423266"/>
    <m/>
    <s v="01/05/2026"/>
    <n v="-1.925927E-3"/>
    <n v="-1.1912762722020343E-2"/>
    <s v="09/02/2026"/>
  </r>
  <r>
    <x v="10"/>
    <x v="2"/>
    <m/>
    <s v="USD"/>
    <s v="Long"/>
    <m/>
    <n v="14700"/>
    <n v="238.62"/>
    <n v="-1.7863022719789234E-2"/>
    <n v="242.96"/>
    <n v="1"/>
    <n v="1"/>
    <n v="3507714"/>
    <n v="1.4638872150770795E-3"/>
    <n v="-0.26625054536227183"/>
    <n v="0"/>
    <n v="0"/>
    <n v="0"/>
    <n v="3507714"/>
    <n v="1.4638872150770795E-3"/>
    <n v="-0.26625054536227183"/>
    <n v="6727.977332243735"/>
    <m/>
    <n v="5144.9999999999991"/>
    <n v="0.22674459518712267"/>
    <n v="1.8585184499992765E-3"/>
    <n v="24.782739309619142"/>
    <n v="1.2695776224136353"/>
    <n v="-59800.806175778736"/>
    <m/>
    <s v="05/02/2026"/>
    <n v="9.0137769999999989E-3"/>
    <n v="0.13195152909855831"/>
    <s v="#N/A Field Not Applicable"/>
  </r>
  <r>
    <x v="11"/>
    <x v="2"/>
    <m/>
    <s v="USD"/>
    <s v="Short"/>
    <m/>
    <m/>
    <n v="79.94"/>
    <n v="-3.407443209279859E-2"/>
    <n v="82.76"/>
    <n v="1"/>
    <n v="1"/>
    <n v="0"/>
    <n v="0"/>
    <n v="0"/>
    <n v="-190285.53109169006"/>
    <n v="-7.9412562192720726E-5"/>
    <n v="-7.5120063583825206E-3"/>
    <n v="-190285.53109169006"/>
    <n v="-7.9412562192720726E-5"/>
    <n v="-7.5120063583825206E-3"/>
    <n v="20082.936590192647"/>
    <m/>
    <n v="-833.12404155731201"/>
    <n v="-1.4607521249001805E-2"/>
    <n v="-8.7679702506640518E-5"/>
    <n v="29.431154659993155"/>
    <n v="1.104103684425354"/>
    <n v="0"/>
    <m/>
    <s v="17/04/2026"/>
    <n v="-6.8873820000000001E-3"/>
    <n v="5.4694465142002529E-3"/>
    <s v="#N/A Field Not Applicable"/>
  </r>
  <r>
    <x v="12"/>
    <x v="2"/>
    <m/>
    <s v="USD"/>
    <s v="Long"/>
    <m/>
    <n v="5750"/>
    <n v="691.7"/>
    <n v="-2.082360102490044E-2"/>
    <n v="706.41"/>
    <n v="1"/>
    <n v="1"/>
    <n v="3977275.0000000005"/>
    <n v="1.659850838279772E-3"/>
    <n v="-0.35299126544882625"/>
    <n v="3985198.1242105365"/>
    <n v="1.663157424915761E-3"/>
    <n v="-0.34395599113444053"/>
    <n v="7962473.1242105365"/>
    <n v="3.3230082631955328E-3"/>
    <n v="-0.69694725658326684"/>
    <n v="2320.991688622235"/>
    <m/>
    <n v="4029.0090985596171"/>
    <n v="1.3786116124943097"/>
    <n v="3.9324251189131239E-3"/>
    <n v="66.378967648721229"/>
    <n v="1.183393120765686"/>
    <n v="-79283.076089576047"/>
    <m/>
    <s v="30/04/2026"/>
    <e v="#VALUE!"/>
    <e v="#VALUE!"/>
    <s v="15/12/2025"/>
  </r>
  <r>
    <x v="12"/>
    <x v="2"/>
    <m/>
    <s v="USD"/>
    <s v="Long"/>
    <m/>
    <n v="-1300"/>
    <n v="691.7"/>
    <n v="-6.4493888162714397E-3"/>
    <n v="696.19"/>
    <n v="1"/>
    <n v="1"/>
    <n v="-899210.00000000012"/>
    <n v="-3.7527062430673107E-4"/>
    <n v="2.4359767285488297E-2"/>
    <m/>
    <m/>
    <m/>
    <n v="-899210.00000000012"/>
    <n v="-3.7527062430673107E-4"/>
    <n v="2.4359767285488297E-2"/>
    <n v="2320.991688622235"/>
    <m/>
    <n v="-454.99999999999994"/>
    <n v="-0.1556879789398245"/>
    <n v="-4.4409267523002981E-4"/>
    <n v="66.378967648721229"/>
    <n v="1.183393120765686"/>
    <n v="5471.2891571525879"/>
    <m/>
    <s v="30/04/2026"/>
    <e v="#VALUE!"/>
    <e v="#VALUE!"/>
    <s v="15/12/2025"/>
  </r>
  <r>
    <x v="13"/>
    <x v="2"/>
    <m/>
    <s v="USD"/>
    <s v="Long"/>
    <m/>
    <n v="4180"/>
    <n v="411.21"/>
    <n v="-2.8721921723315336E-2"/>
    <n v="423.37"/>
    <n v="1"/>
    <n v="1"/>
    <n v="1718857.7999999998"/>
    <n v="7.1733726237530071E-4"/>
    <n v="-0.21212570488275276"/>
    <n v="0"/>
    <n v="0"/>
    <n v="0"/>
    <n v="1718857.7999999998"/>
    <n v="7.1733726237530071E-4"/>
    <n v="-0.21212570488275276"/>
    <n v="3904.1607719170256"/>
    <m/>
    <n v="1462.9999999999998"/>
    <n v="0.29642122341076688"/>
    <n v="7.3024848275414478E-4"/>
    <n v="66.115895873968086"/>
    <n v="1.0179988145828247"/>
    <n v="-47644.177199088153"/>
    <m/>
    <s v="30/04/2026"/>
    <e v="#VALUE!"/>
    <e v="#VALUE!"/>
    <s v="19/02/2026"/>
  </r>
  <r>
    <x v="13"/>
    <x v="2"/>
    <m/>
    <s v="USD"/>
    <s v="Long"/>
    <m/>
    <n v="-2300"/>
    <n v="411.21"/>
    <n v="-9.1802804684111283E-3"/>
    <n v="415.02"/>
    <n v="1"/>
    <n v="1"/>
    <n v="-945783"/>
    <n v="-3.9470710609167267E-4"/>
    <n v="3.6570950954725658E-2"/>
    <m/>
    <m/>
    <m/>
    <n v="-945783"/>
    <n v="-3.9470710609167267E-4"/>
    <n v="3.6570950954725658E-2"/>
    <n v="3904.1607719170256"/>
    <m/>
    <n v="-805"/>
    <n v="-0.16310258704420189"/>
    <n v="-4.0181136610874002E-4"/>
    <n v="66.115895873968086"/>
    <n v="1.0179988145828247"/>
    <n v="8213.96383144219"/>
    <m/>
    <s v="30/04/2026"/>
    <e v="#VALUE!"/>
    <e v="#VALUE!"/>
    <s v="19/02/2026"/>
  </r>
  <r>
    <x v="14"/>
    <x v="2"/>
    <m/>
    <s v="USD"/>
    <s v="Long"/>
    <m/>
    <n v="-12500"/>
    <n v="85.39"/>
    <n v="-1.601751555657982E-2"/>
    <n v="86.78"/>
    <n v="1"/>
    <n v="1"/>
    <n v="-1067375"/>
    <n v="-4.4545154370991983E-4"/>
    <n v="7.2511728042720325E-2"/>
    <m/>
    <m/>
    <m/>
    <n v="-1067375"/>
    <n v="-4.4545154370991983E-4"/>
    <n v="7.2511728042720325E-2"/>
    <n v="18801.147101768358"/>
    <m/>
    <n v="-4374.9999999999991"/>
    <n v="-0.10852502227424748"/>
    <n v="-4.449631649649004E-4"/>
    <n v="38.980678839418552"/>
    <n v="0.99890363216400146"/>
    <n v="16286.388402522885"/>
    <m/>
    <s v="#N/A N/A"/>
    <n v="-2.680942E-3"/>
    <n v="1.19422975249676E-2"/>
    <s v="21/03/2024"/>
  </r>
  <r>
    <x v="14"/>
    <x v="2"/>
    <m/>
    <s v="USD"/>
    <s v="Long"/>
    <m/>
    <n v="-7500"/>
    <n v="85.39"/>
    <n v="-4.6134941912421734E-2"/>
    <n v="89.52"/>
    <n v="1"/>
    <n v="1"/>
    <n v="-640425"/>
    <n v="-2.672709262259519E-4"/>
    <n v="0.12926910941716596"/>
    <n v="0"/>
    <n v="0"/>
    <n v="0"/>
    <n v="-640425"/>
    <n v="-2.672709262259519E-4"/>
    <n v="0.12926910941716596"/>
    <n v="18801.147101768358"/>
    <m/>
    <n v="-2624.9999999999995"/>
    <n v="-6.5115013364548502E-2"/>
    <n v="-2.6697789897894023E-4"/>
    <n v="38.980678839418552"/>
    <n v="0.99890363216400146"/>
    <n v="29034.295296008379"/>
    <m/>
    <s v="#N/A N/A"/>
    <n v="-2.680942E-3"/>
    <n v="7.1653785149805591E-3"/>
    <s v="21/03/2024"/>
  </r>
  <r>
    <x v="15"/>
    <x v="3"/>
    <m/>
    <s v="KRW"/>
    <s v="Long"/>
    <m/>
    <n v="1393"/>
    <n v="907000"/>
    <n v="9.2771084337349485E-2"/>
    <n v="830000"/>
    <n v="1447.45"/>
    <n v="1"/>
    <n v="872880.58309440734"/>
    <n v="3.6428247168410232E-4"/>
    <n v="0.3092585481772423"/>
    <n v="0"/>
    <n v="0"/>
    <n v="0"/>
    <n v="872880.58309440734"/>
    <n v="3.6428247168410232E-4"/>
    <n v="0.3092585481772423"/>
    <n v="2562.0502564541334"/>
    <m/>
    <n v="0.33683374209817263"/>
    <n v="0.21262509886986575"/>
    <n v="6.0748692112467281E-4"/>
    <n v="93.389110000000002"/>
    <n v="1.6676260000000001"/>
    <n v="69460.554428485368"/>
    <m/>
    <s v="23/04/2026"/>
    <e v="#VALUE!"/>
    <e v="#VALUE!"/>
    <s v="26/02/2026"/>
  </r>
  <r>
    <x v="16"/>
    <x v="3"/>
    <m/>
    <s v="KRW"/>
    <s v="Long"/>
    <m/>
    <n v="285"/>
    <n v="546000"/>
    <n v="8.118811881188126E-2"/>
    <n v="505000"/>
    <n v="1447.45"/>
    <n v="1"/>
    <n v="107506.30419012746"/>
    <n v="4.486600225791357E-5"/>
    <n v="3.3690587776088951E-2"/>
    <n v="0"/>
    <n v="0"/>
    <n v="0"/>
    <n v="107506.30419012746"/>
    <n v="4.486600225791357E-5"/>
    <n v="3.3690587776088951E-2"/>
    <n v="4256.0065615456024"/>
    <m/>
    <n v="6.8914297557773993E-2"/>
    <n v="2.8874356990622616E-2"/>
    <n v="8.8836658574768207E-5"/>
    <n v="102.971"/>
    <n v="1.9800439999999999"/>
    <n v="7567.0241606627915"/>
    <m/>
    <s v="11/03/2026"/>
    <e v="#VALUE!"/>
    <e v="#VALUE!"/>
    <s v="#N/A N/A"/>
  </r>
  <r>
    <x v="17"/>
    <x v="3"/>
    <m/>
    <s v="KRW"/>
    <s v="Long"/>
    <m/>
    <n v="6180"/>
    <n v="167500"/>
    <n v="0.11369680851063824"/>
    <n v="150400"/>
    <n v="1447.45"/>
    <n v="1"/>
    <n v="715154.23676120071"/>
    <n v="2.984579540985749E-4"/>
    <n v="0.30469438896033613"/>
    <n v="0"/>
    <n v="0"/>
    <n v="0"/>
    <n v="715154.23676120071"/>
    <n v="2.984579540985749E-4"/>
    <n v="0.30469438896033613"/>
    <n v="13873.3109409188"/>
    <m/>
    <n v="1.4943521365159418"/>
    <n v="0.14037218130054585"/>
    <n v="3.4702303238949502E-4"/>
    <n v="75.25197"/>
    <n v="1.16272"/>
    <n v="68435.428262774702"/>
    <m/>
    <s v="07/04/2026"/>
    <e v="#VALUE!"/>
    <e v="#VALUE!"/>
    <s v="29/12/2025"/>
  </r>
  <r>
    <x v="18"/>
    <x v="3"/>
    <m/>
    <s v="USD"/>
    <s v="Long"/>
    <m/>
    <n v="64300"/>
    <n v="124.32"/>
    <n v="2.8032746216819504E-2"/>
    <n v="120.93"/>
    <n v="1"/>
    <n v="1"/>
    <n v="7993776"/>
    <n v="3.3360720077492056E-3"/>
    <n v="0.909691449989524"/>
    <n v="0"/>
    <n v="0"/>
    <n v="0"/>
    <n v="7993776"/>
    <n v="3.3360720077492056E-3"/>
    <n v="0.909691449989524"/>
    <n v="12913.690082207208"/>
    <m/>
    <n v="22505"/>
    <n v="0.70901902642473014"/>
    <n v="3.0824558520144473E-3"/>
    <n v="34.004974702118325"/>
    <n v="0.92397761344909668"/>
    <n v="204319.88977362393"/>
    <m/>
    <s v="#N/A N/A"/>
    <n v="4.258663E-2"/>
    <n v="1.4207206424737253"/>
    <s v="16/12/2025"/>
  </r>
  <r>
    <x v="18"/>
    <x v="3"/>
    <m/>
    <s v="USD"/>
    <s v="Long"/>
    <m/>
    <n v="-26000"/>
    <n v="124.32"/>
    <n v="-6.5526610196580126E-3"/>
    <n v="125.14"/>
    <n v="1"/>
    <n v="1"/>
    <n v="-3232320"/>
    <n v="-1.3489560217959462E-3"/>
    <n v="8.8975541978176143E-2"/>
    <m/>
    <m/>
    <m/>
    <n v="-3232320"/>
    <n v="-1.3489560217959462E-3"/>
    <n v="8.8975541978176143E-2"/>
    <n v="12913.690082207208"/>
    <m/>
    <n v="-9100"/>
    <n v="-0.28669509622150829"/>
    <n v="-1.2464051656668061E-3"/>
    <n v="34.004974702118325"/>
    <n v="0.92397761344909668"/>
    <n v="19984.21874772897"/>
    <m/>
    <s v="#N/A N/A"/>
    <n v="4.258663E-2"/>
    <n v="-0.57447490986495897"/>
    <s v="16/12/2025"/>
  </r>
  <r>
    <x v="19"/>
    <x v="4"/>
    <m/>
    <s v="USD"/>
    <s v="Long"/>
    <m/>
    <m/>
    <n v="435.1"/>
    <n v="2.7584903877946321E-2"/>
    <n v="423.42"/>
    <n v="1"/>
    <n v="1"/>
    <n v="0"/>
    <n v="0"/>
    <n v="0"/>
    <n v="0"/>
    <n v="0"/>
    <n v="0.16000573543354796"/>
    <n v="0"/>
    <n v="0"/>
    <n v="0.16000573543354796"/>
    <n v="3689.7953367501723"/>
    <m/>
    <n v="0"/>
    <n v="0"/>
    <n v="0"/>
    <n v="80.556934725367327"/>
    <n v="2.0447275638580322"/>
    <n v="0"/>
    <m/>
    <s v="03/02/2026"/>
    <e v="#VALUE!"/>
    <e v="#VALUE!"/>
    <s v="#N/A N/A"/>
  </r>
  <r>
    <x v="19"/>
    <x v="4"/>
    <m/>
    <s v="USD"/>
    <s v="Long"/>
    <m/>
    <n v="3600"/>
    <n v="435.1"/>
    <n v="-3.4462952326241858E-4"/>
    <n v="435.25"/>
    <n v="1"/>
    <n v="1"/>
    <n v="1566360"/>
    <n v="6.5369479330644811E-4"/>
    <n v="-2.2536019075144187E-3"/>
    <m/>
    <m/>
    <m/>
    <n v="1566360"/>
    <n v="6.5369479330644811E-4"/>
    <n v="-2.2536019075144187E-3"/>
    <n v="3689.7953367501723"/>
    <m/>
    <n v="1260"/>
    <n v="0.32912280496687513"/>
    <n v="1.3366277622241735E-3"/>
    <n v="80.556934725367327"/>
    <n v="2.0447275638580322"/>
    <n v="-506.16689135890772"/>
    <m/>
    <s v="03/02/2026"/>
    <e v="#VALUE!"/>
    <e v="#VALUE!"/>
    <s v="#N/A N/A"/>
  </r>
  <r>
    <x v="20"/>
    <x v="4"/>
    <m/>
    <s v="USD"/>
    <s v="Long"/>
    <m/>
    <n v="31721"/>
    <n v="83.11"/>
    <n v="3.0629960317460236E-2"/>
    <n v="80.64"/>
    <n v="1"/>
    <n v="1"/>
    <n v="2636332.31"/>
    <n v="1.1002302819738507E-3"/>
    <n v="0.32698457423600169"/>
    <n v="0"/>
    <n v="0"/>
    <n v="0"/>
    <n v="2636332.31"/>
    <n v="1.1002302819738507E-3"/>
    <n v="0.32698457423600169"/>
    <n v="19316.928781374085"/>
    <m/>
    <n v="11102.35"/>
    <n v="0.16544259120191898"/>
    <n v="1.0276717602653092E-3"/>
    <n v="24.059340145426184"/>
    <n v="0.934051513671875"/>
    <n v="73441.882042910904"/>
    <m/>
    <s v="11/02/2026"/>
    <n v="5.2083100000000007E-3"/>
    <n v="5.7303403799072276E-2"/>
    <s v="02/01/2026"/>
  </r>
  <r>
    <x v="20"/>
    <x v="4"/>
    <m/>
    <s v="USD"/>
    <s v="Long"/>
    <m/>
    <n v="13000"/>
    <n v="83.11"/>
    <n v="9.7193536629813782E-3"/>
    <n v="82.31"/>
    <n v="1"/>
    <n v="1"/>
    <n v="1080430"/>
    <n v="4.5089983498818005E-4"/>
    <n v="4.3402703403987823E-2"/>
    <m/>
    <m/>
    <m/>
    <n v="1080430"/>
    <n v="4.5089983498818005E-4"/>
    <n v="4.3402703403987823E-2"/>
    <n v="19316.928781374085"/>
    <m/>
    <n v="4549.9999999999991"/>
    <n v="6.7802203134357267E-2"/>
    <n v="4.2116367338510826E-4"/>
    <n v="24.059340145426184"/>
    <n v="0.934051513671875"/>
    <n v="9748.3993891359623"/>
    <m/>
    <s v="11/02/2026"/>
    <n v="5.2083100000000007E-3"/>
    <n v="2.3484261195672887E-2"/>
    <s v="02/01/2026"/>
  </r>
  <r>
    <x v="21"/>
    <x v="4"/>
    <m/>
    <s v="USD"/>
    <s v="Long"/>
    <m/>
    <n v="7716"/>
    <n v="91.79"/>
    <n v="-5.008796440028962E-2"/>
    <n v="96.63"/>
    <n v="1"/>
    <n v="1"/>
    <n v="708251.64"/>
    <n v="2.9557726794526986E-4"/>
    <n v="-0.15585510152032933"/>
    <n v="0"/>
    <n v="0"/>
    <n v="0"/>
    <n v="708251.64"/>
    <n v="2.9557726794526986E-4"/>
    <n v="-0.15585510152032933"/>
    <n v="17490.248948905108"/>
    <m/>
    <n v="2700.5999999999995"/>
    <n v="0.10021811837080596"/>
    <n v="2.1942237862057436E-4"/>
    <n v="54.249432139341756"/>
    <n v="0.74235200881958008"/>
    <n v="-35005.602354135975"/>
    <m/>
    <s v="19/02/2026"/>
    <n v="-4.9673579999999998E-3"/>
    <n v="-1.4682381065460798E-2"/>
    <s v="#N/A Field Not Applicable"/>
  </r>
  <r>
    <x v="21"/>
    <x v="4"/>
    <m/>
    <s v="USD"/>
    <s v="Long"/>
    <m/>
    <n v="2500"/>
    <n v="91.79"/>
    <n v="-3.7437080536912637E-2"/>
    <n v="95.36"/>
    <n v="1"/>
    <n v="1"/>
    <n v="229475.00000000003"/>
    <n v="9.5767647727212896E-5"/>
    <n v="-3.7247031526979994E-2"/>
    <m/>
    <m/>
    <m/>
    <n v="229475.00000000003"/>
    <n v="9.5767647727212896E-5"/>
    <n v="-3.7247031526979994E-2"/>
    <n v="17490.248948905108"/>
    <m/>
    <n v="874.99999999999989"/>
    <n v="3.2470878165761392E-2"/>
    <n v="7.1093305670222388E-5"/>
    <n v="54.249432139341756"/>
    <n v="0.74235200881958008"/>
    <n v="-8365.8138988498649"/>
    <m/>
    <s v="19/02/2026"/>
    <n v="-4.9673579999999998E-3"/>
    <n v="-4.7571219107895284E-3"/>
    <s v="#N/A Field Not Applicable"/>
  </r>
  <r>
    <x v="22"/>
    <x v="5"/>
    <m/>
    <s v="USD"/>
    <s v="Long"/>
    <m/>
    <m/>
    <n v="320.33"/>
    <n v="-3.2557156232068007E-2"/>
    <n v="331.11"/>
    <n v="1"/>
    <n v="1"/>
    <n v="0"/>
    <n v="0"/>
    <n v="0"/>
    <n v="1793021.1212432382"/>
    <n v="7.4828811463852139E-4"/>
    <n v="-0.19506176510599998"/>
    <n v="1793021.1212432382"/>
    <n v="7.4828811463852139E-4"/>
    <n v="-0.19506176510599998"/>
    <n v="5011.800178003934"/>
    <m/>
    <n v="1959.0965330600736"/>
    <n v="0.12712224588090834"/>
    <n v="1.5189001456609574E-3"/>
    <n v="27.181454500010133"/>
    <n v="2.0298333168029785"/>
    <n v="0"/>
    <m/>
    <s v="04/03/2026"/>
    <n v="1.709403E-2"/>
    <n v="0.12791259480274322"/>
    <s v="22/12/2025"/>
  </r>
  <r>
    <x v="22"/>
    <x v="5"/>
    <m/>
    <s v="USD"/>
    <s v="Long"/>
    <m/>
    <n v="2300"/>
    <n v="320.33"/>
    <n v="1.4344521849271707E-2"/>
    <n v="315.8"/>
    <n v="1"/>
    <n v="1"/>
    <n v="736759"/>
    <n v="3.0747434958864207E-4"/>
    <n v="4.348199680443731E-2"/>
    <m/>
    <m/>
    <m/>
    <n v="736759"/>
    <n v="3.0747434958864207E-4"/>
    <n v="4.348199680443731E-2"/>
    <n v="5011.800178003934"/>
    <m/>
    <n v="804.99999999999989"/>
    <n v="5.2235000270399269E-2"/>
    <n v="6.2412167885735189E-4"/>
    <n v="27.181454500010133"/>
    <n v="2.0298333168029785"/>
    <n v="9766.2089649430145"/>
    <m/>
    <s v="04/03/2026"/>
    <n v="1.709403E-2"/>
    <n v="5.2559757560987352E-2"/>
    <s v="22/12/2025"/>
  </r>
  <r>
    <x v="22"/>
    <x v="5"/>
    <m/>
    <s v="USD"/>
    <s v="Long"/>
    <m/>
    <n v="-2300"/>
    <n v="320.33"/>
    <n v="4.1692789968652555E-3"/>
    <n v="319"/>
    <n v="1"/>
    <n v="1"/>
    <n v="-736759"/>
    <n v="-3.0747434958864207E-4"/>
    <n v="-1.2766237472384388E-2"/>
    <m/>
    <m/>
    <m/>
    <n v="-736759"/>
    <n v="-3.0747434958864207E-4"/>
    <n v="-1.2766237472384388E-2"/>
    <n v="5011.800178003934"/>
    <m/>
    <n v="-804.99999999999989"/>
    <n v="-5.2235000270399269E-2"/>
    <n v="-6.2412167885735189E-4"/>
    <n v="27.181454500010133"/>
    <n v="2.0298333168029785"/>
    <n v="-2867.3417049391014"/>
    <m/>
    <s v="04/03/2026"/>
    <n v="1.709403E-2"/>
    <n v="-5.2559757560987352E-2"/>
    <s v="22/12/2025"/>
  </r>
  <r>
    <x v="23"/>
    <x v="5"/>
    <m/>
    <s v="USD"/>
    <s v="Long"/>
    <m/>
    <n v="798"/>
    <n v="335.75"/>
    <n v="-1.6434262948207157E-2"/>
    <n v="341.36"/>
    <n v="1"/>
    <n v="1"/>
    <n v="267928.5"/>
    <n v="1.1181558864399416E-4"/>
    <n v="-1.8683111013933246E-2"/>
    <n v="12882739.624027163"/>
    <n v="5.3764012205043702E-3"/>
    <n v="-0.33037177963636566"/>
    <n v="13150668.124027163"/>
    <n v="5.4882168091483644E-3"/>
    <n v="-0.34905489065029893"/>
    <n v="4781.6230856887569"/>
    <m/>
    <n v="13708.81263859868"/>
    <n v="1.0689306490423645"/>
    <n v="8.0215329032514507E-3"/>
    <n v="31.162927740334258"/>
    <n v="1.4615918397903442"/>
    <n v="-4196.2922516631106"/>
    <m/>
    <s v="17/04/2026"/>
    <e v="#VALUE!"/>
    <e v="#VALUE!"/>
    <s v="17/03/2026"/>
  </r>
  <r>
    <x v="23"/>
    <x v="5"/>
    <m/>
    <s v="USD"/>
    <s v="Long"/>
    <m/>
    <n v="2940"/>
    <n v="335.75"/>
    <n v="4.5477665080930763E-3"/>
    <n v="334.23"/>
    <n v="1"/>
    <n v="1"/>
    <n v="987105"/>
    <n v="4.119521686883995E-4"/>
    <n v="1.8649807785744148E-2"/>
    <m/>
    <m/>
    <m/>
    <n v="987105"/>
    <n v="4.119521686883995E-4"/>
    <n v="1.8649807785744148E-2"/>
    <n v="4781.6230856887569"/>
    <m/>
    <n v="1028.9999999999998"/>
    <n v="8.0235222908191142E-2"/>
    <n v="6.0210592813890007E-4"/>
    <n v="31.162927740334258"/>
    <n v="1.4615918397903442"/>
    <n v="4188.8122298240787"/>
    <m/>
    <s v="17/04/2026"/>
    <e v="#VALUE!"/>
    <e v="#VALUE!"/>
    <s v="17/03/2026"/>
  </r>
  <r>
    <x v="24"/>
    <x v="5"/>
    <m/>
    <s v="USD"/>
    <s v="Long"/>
    <m/>
    <m/>
    <n v="49.25"/>
    <n v="9.0145461995492226E-3"/>
    <n v="48.81"/>
    <n v="1"/>
    <n v="1"/>
    <n v="0"/>
    <n v="0"/>
    <n v="0"/>
    <n v="537137.20625266433"/>
    <n v="2.241654504829914E-4"/>
    <n v="3.0830526095861482E-2"/>
    <n v="537137.20625266433"/>
    <n v="2.241654504829914E-4"/>
    <n v="3.0830526095861482E-2"/>
    <n v="32597.562457258882"/>
    <m/>
    <n v="3817.2187246382236"/>
    <n v="0.18557648332189203"/>
    <n v="3.3012119033523174E-4"/>
    <n v="132.45679594035224"/>
    <n v="1.4726675748825073"/>
    <n v="0"/>
    <m/>
    <s v="24/04/2026"/>
    <e v="#VALUE!"/>
    <e v="#VALUE!"/>
    <s v="03/09/2024"/>
  </r>
  <r>
    <x v="25"/>
    <x v="5"/>
    <m/>
    <s v="USD"/>
    <s v="Long"/>
    <m/>
    <n v="20008"/>
    <n v="180.34"/>
    <n v="-2.8392866763644276E-2"/>
    <n v="185.61"/>
    <n v="1"/>
    <n v="1"/>
    <n v="3608242.72"/>
    <n v="1.5058412364015272E-3"/>
    <n v="-0.44004565353421671"/>
    <n v="1052636.1979365349"/>
    <n v="4.3930054510904807E-4"/>
    <n v="-0.11393209643546845"/>
    <n v="4660878.9179365356"/>
    <n v="1.9451417815105755E-3"/>
    <n v="-0.55397774996968518"/>
    <n v="8902.2399413330368"/>
    <m/>
    <n v="9045.7337322711937"/>
    <n v="0.34340016890045616"/>
    <n v="3.5816264518279844E-3"/>
    <n v="28.246798020761275"/>
    <n v="1.8413189649581909"/>
    <n v="-98835.796935882885"/>
    <m/>
    <s v="25/02/2026"/>
    <n v="2.3705750000000002E-3"/>
    <n v="4.6111044787044322E-2"/>
    <s v="04/12/2025"/>
  </r>
  <r>
    <x v="25"/>
    <x v="5"/>
    <m/>
    <s v="USD"/>
    <s v="Long"/>
    <m/>
    <n v="3019"/>
    <n v="180.34"/>
    <n v="-2.2131238242779627E-3"/>
    <n v="180.74"/>
    <n v="1"/>
    <n v="1"/>
    <n v="544446.46"/>
    <n v="2.2721584829549232E-4"/>
    <n v="-5.0397215991015987E-3"/>
    <m/>
    <m/>
    <m/>
    <n v="544446.46"/>
    <n v="2.2721584829549232E-4"/>
    <n v="-5.0397215991015987E-3"/>
    <n v="8902.2399413330368"/>
    <m/>
    <n v="1056.6499999999999"/>
    <n v="4.0113251086991916E-2"/>
    <n v="4.1837685060555326E-4"/>
    <n v="28.246798020761275"/>
    <n v="1.8413189649581909"/>
    <n v="-1131.9391444539228"/>
    <m/>
    <s v="25/02/2026"/>
    <n v="2.3705750000000002E-3"/>
    <n v="5.3863220957308666E-3"/>
    <s v="04/12/2025"/>
  </r>
  <r>
    <x v="26"/>
    <x v="5"/>
    <m/>
    <s v="USD"/>
    <s v="Short"/>
    <m/>
    <n v="2951"/>
    <n v="75.540000000000006"/>
    <n v="-3.9664378337147088E-2"/>
    <n v="78.66"/>
    <n v="1"/>
    <n v="1"/>
    <n v="222918.54"/>
    <n v="9.3031416104519518E-5"/>
    <n v="-3.8424413323550434E-2"/>
    <n v="-628072.36063331389"/>
    <n v="-2.6211575370009902E-4"/>
    <n v="8.0754068352612229E-2"/>
    <n v="-405153.82063331385"/>
    <n v="-1.6908433759557946E-4"/>
    <n v="4.2329655029061795E-2"/>
    <n v="21252.713145618214"/>
    <m/>
    <n v="-1877.2019753992563"/>
    <n v="-3.9772851220630581E-2"/>
    <n v="-3.3561695256897298E-4"/>
    <n v="37.635988559281344"/>
    <n v="1.9849085807800293"/>
    <n v="-8630.2579792020715"/>
    <m/>
    <s v="05/03/2026"/>
    <n v="-1.0170590000000001E-3"/>
    <n v="1.7196874731062247E-3"/>
    <s v="09/01/2026"/>
  </r>
  <r>
    <x v="26"/>
    <x v="5"/>
    <m/>
    <s v="USD"/>
    <s v="Short"/>
    <m/>
    <n v="-2951"/>
    <n v="75.540000000000006"/>
    <n v="2.9015120555782703E-2"/>
    <n v="73.41"/>
    <n v="1"/>
    <n v="1"/>
    <n v="-222918.54"/>
    <n v="-9.3031416104519518E-5"/>
    <n v="-2.62320514035779E-2"/>
    <m/>
    <m/>
    <m/>
    <n v="-222918.54"/>
    <n v="-9.3031416104519518E-5"/>
    <n v="-2.62320514035779E-2"/>
    <n v="21252.713145618214"/>
    <m/>
    <n v="-1032.8499999999997"/>
    <n v="-2.1883308201021492E-2"/>
    <n v="-1.8465885610797819E-4"/>
    <n v="37.635988559281344"/>
    <n v="1.9849085807800293"/>
    <n v="-5891.8107358014586"/>
    <m/>
    <s v="05/03/2026"/>
    <n v="-1.0170590000000001E-3"/>
    <n v="9.4618439031846514E-4"/>
    <s v="09/01/2026"/>
  </r>
  <r>
    <x v="27"/>
    <x v="6"/>
    <m/>
    <s v="USD"/>
    <s v="Long"/>
    <m/>
    <n v="35500"/>
    <n v="15.34"/>
    <n v="1.3054830287206887E-3"/>
    <n v="15.32"/>
    <n v="1"/>
    <n v="1"/>
    <n v="544570"/>
    <n v="2.2726740569913202E-4"/>
    <n v="2.9630691746952696E-3"/>
    <n v="0"/>
    <n v="0"/>
    <n v="0"/>
    <n v="544570"/>
    <n v="2.2726740569913202E-4"/>
    <n v="2.9630691746952696E-3"/>
    <n v="104656.45052281617"/>
    <m/>
    <n v="12425"/>
    <n v="0.11025291976446469"/>
    <n v="4.6150085986401332E-4"/>
    <n v="77.619872977595762"/>
    <n v="2.030651330947876"/>
    <n v="665.5157275275393"/>
    <m/>
    <s v="24/02/2026"/>
    <n v="9.7911600000000001E-3"/>
    <n v="2.2252115319851135E-2"/>
    <s v="12/10/2017"/>
  </r>
  <r>
    <x v="28"/>
    <x v="6"/>
    <m/>
    <s v="USD"/>
    <s v="Long"/>
    <m/>
    <n v="26000"/>
    <n v="68.5"/>
    <n v="3.9572035761394897E-3"/>
    <n v="68.23"/>
    <n v="1"/>
    <n v="1"/>
    <n v="1781000"/>
    <n v="7.4327129579329404E-4"/>
    <n v="2.929682479769145E-2"/>
    <m/>
    <m/>
    <m/>
    <n v="1781000"/>
    <n v="7.4327129579329404E-4"/>
    <n v="2.929682479769145E-2"/>
    <n v="23436.933591532848"/>
    <m/>
    <n v="9100"/>
    <n v="0.11464047584963681"/>
    <n v="5.1360076416869719E-4"/>
    <n v="24.678036458228824"/>
    <n v="0.69100040197372437"/>
    <n v="6580.1695876667"/>
    <m/>
    <s v="10/02/2026"/>
    <n v="5.1251729999999994E-3"/>
    <n v="3.8093939768748038E-2"/>
    <s v="13/03/2026"/>
  </r>
  <r>
    <x v="29"/>
    <x v="7"/>
    <m/>
    <s v="USD"/>
    <s v="Long"/>
    <m/>
    <n v="45750"/>
    <n v="53.53"/>
    <n v="-9.2541180825467251E-3"/>
    <n v="54.03"/>
    <n v="1"/>
    <n v="1"/>
    <n v="2448997.5"/>
    <n v="1.022049155092385E-3"/>
    <n v="-9.5465080804444699E-2"/>
    <n v="0"/>
    <n v="0"/>
    <n v="0"/>
    <n v="2448997.5"/>
    <n v="1.022049155092385E-3"/>
    <n v="-9.5465080804444699E-2"/>
    <n v="29991.218961703718"/>
    <m/>
    <n v="16012.499999999998"/>
    <n v="9.2422732803817575E-2"/>
    <n v="1.0219016095726972E-3"/>
    <n v="14.468616479873836"/>
    <n v="0.999855637550354"/>
    <n v="-21441.791925623642"/>
    <m/>
    <s v="#N/A N/A"/>
    <n v="-4.0717640000000003E-3"/>
    <n v="-4.1615429559355904E-2"/>
    <s v="22/12/2025"/>
  </r>
  <r>
    <x v="29"/>
    <x v="7"/>
    <m/>
    <s v="USD"/>
    <s v="Long"/>
    <m/>
    <n v="-22250"/>
    <n v="53.53"/>
    <n v="-6.1269959153360531E-3"/>
    <n v="53.86"/>
    <n v="1"/>
    <n v="1"/>
    <n v="-1191042.5"/>
    <n v="-4.9706215739465714E-4"/>
    <n v="3.0642725936901927E-2"/>
    <n v="0"/>
    <n v="0"/>
    <n v="0"/>
    <n v="-1191042.5"/>
    <n v="-4.9706215739465714E-4"/>
    <n v="3.0642725936901927E-2"/>
    <n v="29991.218961703718"/>
    <m/>
    <n v="-7787.4999999999991"/>
    <n v="-4.4948760762512363E-2"/>
    <n v="-4.9699040028398933E-4"/>
    <n v="14.468616479873836"/>
    <n v="0.999855637550354"/>
    <n v="6882.4637033394893"/>
    <m/>
    <s v="#N/A N/A"/>
    <n v="-4.0717640000000003E-3"/>
    <n v="2.023919798241899E-2"/>
    <s v="22/12/2025"/>
  </r>
  <r>
    <x v="30"/>
    <x v="7"/>
    <m/>
    <s v="USD"/>
    <s v="Long"/>
    <m/>
    <n v="15000"/>
    <n v="88.35"/>
    <n v="-3.3840947546532885E-3"/>
    <n v="88.65"/>
    <n v="1"/>
    <n v="1"/>
    <n v="1325250"/>
    <n v="5.5307146813591407E-4"/>
    <n v="-1.8780015895957049E-2"/>
    <n v="0"/>
    <n v="0"/>
    <n v="0"/>
    <n v="1325250"/>
    <n v="5.5307146813591407E-4"/>
    <n v="-1.8780015895957049E-2"/>
    <n v="18171.250153027733"/>
    <m/>
    <n v="5250"/>
    <n v="6.3880686049912649E-2"/>
    <n v="5.5093120767808507E-4"/>
    <n v="18.480269471203847"/>
    <n v="0.99613022804260254"/>
    <n v="-4218.0574279916973"/>
    <m/>
    <s v="#N/A N/A"/>
    <n v="1.9397329999999999E-3"/>
    <n v="1.072810978101681E-2"/>
    <s v="22/12/2025"/>
  </r>
  <r>
    <x v="31"/>
    <x v="7"/>
    <m/>
    <s v="USD"/>
    <s v="Short"/>
    <m/>
    <n v="-11500"/>
    <n v="23.87"/>
    <n v="1.5744680851063952E-2"/>
    <n v="23.5"/>
    <n v="1"/>
    <n v="1"/>
    <n v="-274505"/>
    <n v="-1.1456018363376653E-4"/>
    <n v="-1.7757548363843204E-2"/>
    <n v="0"/>
    <n v="0"/>
    <n v="0"/>
    <n v="-274505"/>
    <n v="-1.1456018363376653E-4"/>
    <n v="-1.7757548363843204E-2"/>
    <n v="67257.224592375365"/>
    <m/>
    <n v="-4025"/>
    <n v="-1.8069177557906109E-2"/>
    <n v="-4.255689417846193E-5"/>
    <n v="25.236241053063718"/>
    <n v="0.37148067355155945"/>
    <n v="-3988.4076346897855"/>
    <m/>
    <s v="11/02/2026"/>
    <e v="#VALUE!"/>
    <e v="#VALUE!"/>
    <s v="28/11/2025"/>
  </r>
  <r>
    <x v="32"/>
    <x v="7"/>
    <m/>
    <s v="USD"/>
    <s v="Short"/>
    <m/>
    <n v="-27500"/>
    <n v="85.87"/>
    <n v="1.621301775147943E-2"/>
    <n v="84.5"/>
    <n v="1"/>
    <n v="1"/>
    <n v="-2361425"/>
    <n v="-9.855022008246376E-4"/>
    <n v="-0.15723046641781274"/>
    <n v="0"/>
    <n v="0"/>
    <n v="0"/>
    <n v="-2361425"/>
    <n v="-9.855022008246376E-4"/>
    <n v="-0.15723046641781274"/>
    <n v="18696.051601490624"/>
    <m/>
    <n v="-9625"/>
    <n v="-9.1219669888347371E-2"/>
    <n v="-9.8832151027566798E-4"/>
    <n v="14.809857522309757"/>
    <n v="1.0028607845306396"/>
    <n v="-35314.51413324038"/>
    <m/>
    <s v="#N/A N/A"/>
    <n v="-5.0887610000000007E-3"/>
    <n v="5.014985164970584E-2"/>
    <s v="22/12/20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1AA609-234C-461F-BF62-F80263F1BA3E}" name="Tabela dinâmica1" cacheId="3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2:F54" firstHeaderRow="0" firstDataRow="1" firstDataCol="1"/>
  <pivotFields count="34">
    <pivotField axis="axisRow" showAll="0">
      <items count="193">
        <item m="1" x="189"/>
        <item m="1" x="185"/>
        <item m="1" x="165"/>
        <item x="9"/>
        <item m="1" x="146"/>
        <item x="2"/>
        <item m="1" x="109"/>
        <item m="1" x="75"/>
        <item m="1" x="111"/>
        <item m="1" x="93"/>
        <item m="1" x="122"/>
        <item m="1" x="33"/>
        <item m="1" x="190"/>
        <item m="1" x="183"/>
        <item m="1" x="188"/>
        <item x="14"/>
        <item m="1" x="161"/>
        <item m="1" x="63"/>
        <item m="1" x="50"/>
        <item x="12"/>
        <item m="1" x="64"/>
        <item x="13"/>
        <item m="1" x="103"/>
        <item m="1" x="130"/>
        <item x="25"/>
        <item m="1" x="191"/>
        <item x="6"/>
        <item m="1" x="51"/>
        <item m="1" x="86"/>
        <item x="23"/>
        <item m="1" x="61"/>
        <item m="1" x="60"/>
        <item m="1" x="49"/>
        <item x="29"/>
        <item x="32"/>
        <item m="1" x="187"/>
        <item m="1" x="186"/>
        <item m="1" x="59"/>
        <item x="30"/>
        <item m="1" x="177"/>
        <item m="1" x="53"/>
        <item x="7"/>
        <item m="1" x="68"/>
        <item m="1" x="69"/>
        <item m="1" x="70"/>
        <item m="1" x="78"/>
        <item m="1" x="74"/>
        <item m="1" x="87"/>
        <item m="1" x="184"/>
        <item m="1" x="100"/>
        <item m="1" x="143"/>
        <item m="1" x="127"/>
        <item m="1" x="71"/>
        <item m="1" x="175"/>
        <item m="1" x="125"/>
        <item m="1" x="181"/>
        <item m="1" x="120"/>
        <item m="1" x="182"/>
        <item m="1" x="171"/>
        <item m="1" x="180"/>
        <item m="1" x="176"/>
        <item x="10"/>
        <item m="1" x="178"/>
        <item m="1" x="179"/>
        <item m="1" x="163"/>
        <item m="1" x="174"/>
        <item m="1" x="106"/>
        <item m="1" x="151"/>
        <item x="22"/>
        <item m="1" x="149"/>
        <item m="1" x="158"/>
        <item m="1" x="83"/>
        <item m="1" x="98"/>
        <item m="1" x="164"/>
        <item m="1" x="66"/>
        <item m="1" x="157"/>
        <item m="1" x="173"/>
        <item m="1" x="172"/>
        <item m="1" x="117"/>
        <item m="1" x="118"/>
        <item x="18"/>
        <item m="1" x="38"/>
        <item m="1" x="170"/>
        <item m="1" x="41"/>
        <item m="1" x="168"/>
        <item m="1" x="167"/>
        <item m="1" x="133"/>
        <item m="1" x="105"/>
        <item m="1" x="166"/>
        <item m="1" x="169"/>
        <item x="26"/>
        <item m="1" x="159"/>
        <item m="1" x="116"/>
        <item x="5"/>
        <item m="1" x="101"/>
        <item m="1" x="162"/>
        <item m="1" x="76"/>
        <item m="1" x="126"/>
        <item m="1" x="160"/>
        <item m="1" x="72"/>
        <item m="1" x="144"/>
        <item m="1" x="145"/>
        <item m="1" x="131"/>
        <item m="1" x="77"/>
        <item m="1" x="156"/>
        <item m="1" x="112"/>
        <item m="1" x="155"/>
        <item m="1" x="153"/>
        <item m="1" x="154"/>
        <item m="1" x="152"/>
        <item m="1" x="148"/>
        <item m="1" x="90"/>
        <item m="1" x="43"/>
        <item m="1" x="150"/>
        <item m="1" x="147"/>
        <item m="1" x="129"/>
        <item x="11"/>
        <item m="1" x="136"/>
        <item m="1" x="137"/>
        <item m="1" x="80"/>
        <item m="1" x="140"/>
        <item m="1" x="132"/>
        <item m="1" x="121"/>
        <item m="1" x="134"/>
        <item m="1" x="142"/>
        <item m="1" x="139"/>
        <item m="1" x="141"/>
        <item m="1" x="107"/>
        <item m="1" x="85"/>
        <item m="1" x="138"/>
        <item m="1" x="97"/>
        <item m="1" x="135"/>
        <item m="1" x="113"/>
        <item m="1" x="114"/>
        <item m="1" x="34"/>
        <item m="1" x="81"/>
        <item m="1" x="123"/>
        <item m="1" x="67"/>
        <item m="1" x="108"/>
        <item m="1" x="99"/>
        <item m="1" x="102"/>
        <item m="1" x="104"/>
        <item m="1" x="82"/>
        <item m="1" x="124"/>
        <item m="1" x="128"/>
        <item m="1" x="119"/>
        <item m="1" x="110"/>
        <item m="1" x="45"/>
        <item m="1" x="115"/>
        <item m="1" x="91"/>
        <item m="1" x="96"/>
        <item m="1" x="79"/>
        <item m="1" x="40"/>
        <item m="1" x="89"/>
        <item m="1" x="95"/>
        <item m="1" x="94"/>
        <item m="1" x="92"/>
        <item m="1" x="88"/>
        <item m="1" x="84"/>
        <item m="1" x="73"/>
        <item m="1" x="65"/>
        <item m="1" x="62"/>
        <item m="1" x="54"/>
        <item x="19"/>
        <item m="1" x="52"/>
        <item m="1" x="55"/>
        <item m="1" x="46"/>
        <item m="1" x="58"/>
        <item m="1" x="56"/>
        <item x="27"/>
        <item m="1" x="57"/>
        <item m="1" x="44"/>
        <item x="1"/>
        <item x="0"/>
        <item x="8"/>
        <item m="1" x="48"/>
        <item x="3"/>
        <item m="1" x="42"/>
        <item m="1" x="47"/>
        <item x="15"/>
        <item x="31"/>
        <item m="1" x="39"/>
        <item x="24"/>
        <item x="20"/>
        <item x="21"/>
        <item m="1" x="37"/>
        <item m="1" x="36"/>
        <item m="1" x="35"/>
        <item x="16"/>
        <item x="17"/>
        <item x="4"/>
        <item x="28"/>
        <item t="default"/>
      </items>
    </pivotField>
    <pivotField axis="axisRow" showAll="0">
      <items count="28">
        <item x="0"/>
        <item m="1" x="18"/>
        <item x="1"/>
        <item m="1" x="10"/>
        <item sd="0" m="1" x="24"/>
        <item m="1" x="8"/>
        <item m="1" x="13"/>
        <item m="1" x="22"/>
        <item m="1" x="26"/>
        <item m="1" x="11"/>
        <item m="1" x="12"/>
        <item m="1" x="25"/>
        <item m="1" x="23"/>
        <item x="5"/>
        <item x="3"/>
        <item m="1" x="17"/>
        <item m="1" x="20"/>
        <item m="1" x="21"/>
        <item m="1" x="16"/>
        <item m="1" x="15"/>
        <item m="1" x="19"/>
        <item x="4"/>
        <item m="1" x="14"/>
        <item x="6"/>
        <item m="1" x="9"/>
        <item x="2"/>
        <item x="7"/>
        <item t="default"/>
      </items>
    </pivotField>
    <pivotField showAll="0"/>
    <pivotField showAll="0"/>
    <pivotField showAll="0"/>
    <pivotField showAll="0"/>
    <pivotField showAll="0"/>
    <pivotField numFmtId="43" showAll="0"/>
    <pivotField dataField="1" numFmtId="10" showAll="0"/>
    <pivotField numFmtId="43" showAll="0"/>
    <pivotField numFmtId="43" showAll="0"/>
    <pivotField numFmtId="166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numFmtId="170" showAll="0"/>
    <pivotField numFmtId="166" showAll="0"/>
    <pivotField showAll="0"/>
    <pivotField numFmtId="10" showAll="0"/>
    <pivotField numFmtId="43" showAll="0"/>
    <pivotField numFmtId="10" showAll="0"/>
    <pivotField numFmtId="43" showAll="0"/>
    <pivotField showAll="0"/>
    <pivotField showAll="0"/>
    <pivotField numFmtId="166" showAll="0"/>
    <pivotField showAll="0"/>
    <pivotField showAll="0"/>
    <pivotField showAll="0"/>
    <pivotField showAll="0"/>
  </pivotFields>
  <rowFields count="2">
    <field x="1"/>
    <field x="0"/>
  </rowFields>
  <rowItems count="42">
    <i>
      <x/>
    </i>
    <i r="1">
      <x v="5"/>
    </i>
    <i r="1">
      <x v="172"/>
    </i>
    <i r="1">
      <x v="173"/>
    </i>
    <i>
      <x v="2"/>
    </i>
    <i r="1">
      <x v="26"/>
    </i>
    <i r="1">
      <x v="41"/>
    </i>
    <i r="1">
      <x v="93"/>
    </i>
    <i r="1">
      <x v="176"/>
    </i>
    <i r="1">
      <x v="190"/>
    </i>
    <i>
      <x v="13"/>
    </i>
    <i r="1">
      <x v="24"/>
    </i>
    <i r="1">
      <x v="29"/>
    </i>
    <i r="1">
      <x v="68"/>
    </i>
    <i r="1">
      <x v="90"/>
    </i>
    <i r="1">
      <x v="182"/>
    </i>
    <i>
      <x v="14"/>
    </i>
    <i r="1">
      <x v="80"/>
    </i>
    <i r="1">
      <x v="179"/>
    </i>
    <i r="1">
      <x v="188"/>
    </i>
    <i r="1">
      <x v="189"/>
    </i>
    <i>
      <x v="21"/>
    </i>
    <i r="1">
      <x v="163"/>
    </i>
    <i r="1">
      <x v="183"/>
    </i>
    <i r="1">
      <x v="184"/>
    </i>
    <i>
      <x v="23"/>
    </i>
    <i r="1">
      <x v="169"/>
    </i>
    <i r="1">
      <x v="191"/>
    </i>
    <i>
      <x v="25"/>
    </i>
    <i r="1">
      <x v="3"/>
    </i>
    <i r="1">
      <x v="15"/>
    </i>
    <i r="1">
      <x v="19"/>
    </i>
    <i r="1">
      <x v="21"/>
    </i>
    <i r="1">
      <x v="61"/>
    </i>
    <i r="1">
      <x v="116"/>
    </i>
    <i r="1">
      <x v="174"/>
    </i>
    <i>
      <x v="26"/>
    </i>
    <i r="1">
      <x v="33"/>
    </i>
    <i r="1">
      <x v="34"/>
    </i>
    <i r="1">
      <x v="38"/>
    </i>
    <i r="1">
      <x v="18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of % Chg" fld="8" subtotal="average" baseField="1" baseItem="1" numFmtId="172"/>
    <dataField name="Sum of _x000a_P&amp;L bps" fld="20" baseField="0" baseItem="0" numFmtId="170"/>
    <dataField name="Sum of D1 Exp %" fld="13" baseField="1" baseItem="0" numFmtId="10"/>
    <dataField name="Sum of Option Exp %" fld="16" baseField="0" baseItem="0" numFmtId="10"/>
    <dataField name="Sum of Exp %" fld="19" baseField="0" baseItem="0" numFmtId="10"/>
  </dataFields>
  <formats count="42">
    <format dxfId="1773">
      <pivotArea outline="0" collapsedLevelsAreSubtotals="1" fieldPosition="0"/>
    </format>
    <format dxfId="1772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71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70">
      <pivotArea outline="0" collapsedLevelsAreSubtotals="1" fieldPosition="0"/>
    </format>
    <format dxfId="1769">
      <pivotArea dataOnly="0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8">
      <pivotArea outline="0" collapsedLevelsAreSubtotals="1" fieldPosition="0"/>
    </format>
    <format dxfId="1767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6">
      <pivotArea outline="0" collapsedLevelsAreSubtotals="1" fieldPosition="0"/>
    </format>
    <format dxfId="1765">
      <pivotArea type="all" dataOnly="0" outline="0" fieldPosition="0"/>
    </format>
    <format dxfId="1764">
      <pivotArea dataOnly="0" labelOnly="1" grandRow="1" outline="0" fieldPosition="0"/>
    </format>
    <format dxfId="1763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2">
      <pivotArea outline="0" collapsedLevelsAreSubtotals="1" fieldPosition="0">
        <references count="1">
          <reference field="4294967294" count="3" selected="0">
            <x v="2"/>
            <x v="3"/>
            <x v="4"/>
          </reference>
        </references>
      </pivotArea>
    </format>
    <format dxfId="1761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0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9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8">
      <pivotArea dataOnly="0" labelOnly="1" grandRow="1" outline="0" fieldPosition="0"/>
    </format>
    <format dxfId="1757">
      <pivotArea type="all" dataOnly="0" outline="0" fieldPosition="0"/>
    </format>
    <format dxfId="1756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5">
      <pivotArea type="all" dataOnly="0" outline="0" fieldPosition="0"/>
    </format>
    <format dxfId="1754">
      <pivotArea outline="0" collapsedLevelsAreSubtotals="1" fieldPosition="0"/>
    </format>
    <format dxfId="1753">
      <pivotArea dataOnly="0" labelOnly="1" grandRow="1" outline="0" fieldPosition="0"/>
    </format>
    <format dxfId="1752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750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749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74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74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746">
      <pivotArea type="all" dataOnly="0" outline="0" fieldPosition="0"/>
    </format>
    <format dxfId="1745">
      <pivotArea outline="0" collapsedLevelsAreSubtotals="1" fieldPosition="0"/>
    </format>
    <format dxfId="1744">
      <pivotArea dataOnly="0" labelOnly="1" grandRow="1" outline="0" fieldPosition="0"/>
    </format>
    <format dxfId="174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42">
      <pivotArea type="all" dataOnly="0" outline="0" fieldPosition="0"/>
    </format>
    <format dxfId="1741">
      <pivotArea outline="0" collapsedLevelsAreSubtotals="1" fieldPosition="0"/>
    </format>
    <format dxfId="1740">
      <pivotArea dataOnly="0" labelOnly="1" grandRow="1" outline="0" fieldPosition="0"/>
    </format>
    <format dxfId="173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3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737">
      <pivotArea field="1" type="button" dataOnly="0" labelOnly="1" outline="0" axis="axisRow" fieldPosition="0"/>
    </format>
    <format dxfId="173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35">
      <pivotArea field="1" type="button" dataOnly="0" labelOnly="1" outline="0" axis="axisRow" fieldPosition="0"/>
    </format>
    <format dxfId="173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33">
      <pivotArea field="1" type="button" dataOnly="0" labelOnly="1" outline="0" axis="axisRow" fieldPosition="0"/>
    </format>
    <format dxfId="173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onditionalFormats count="1">
    <conditionalFormat priority="3694">
      <pivotAreas count="1">
        <pivotArea type="data" outline="0" collapsedLevelsAreSubtotals="1" fieldPosition="0">
          <references count="1">
            <reference field="4294967294" count="1" selected="0">
              <x v="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8A667B-27C2-4003-A53C-C52DE885F6F5}" name="Tabelad" displayName="Tabelad" ref="B11:AI62" totalsRowShown="0" headerRowDxfId="1731" dataDxfId="1729" headerRowBorderDxfId="1730" tableBorderDxfId="1728">
  <autoFilter ref="B11:AI62" xr:uid="{488A667B-27C2-4003-A53C-C52DE885F6F5}"/>
  <sortState xmlns:xlrd2="http://schemas.microsoft.com/office/spreadsheetml/2017/richdata2" ref="B12:AI62">
    <sortCondition ref="C11:C62"/>
  </sortState>
  <tableColumns count="34">
    <tableColumn id="1" xr3:uid="{C4869650-AB2A-4E52-A8FD-8FC4A1E9B450}" name="Ticker" dataDxfId="1727" totalsRowDxfId="1726"/>
    <tableColumn id="2" xr3:uid="{3392DCC0-4423-44FF-B70A-0E06289D8EEE}" name="Sector" dataDxfId="1725"/>
    <tableColumn id="29" xr3:uid="{7A835F51-8D98-481A-BCE1-CD91D7445A8F}" name="Diretoria" dataDxfId="1724"/>
    <tableColumn id="3" xr3:uid="{B1589ED3-B8E2-4F6B-B66F-D68F68C1ABA6}" name="Crncy" dataDxfId="1723"/>
    <tableColumn id="4" xr3:uid="{616D46BC-AC49-4393-8BDA-875BFB778D29}" name="Long / Short" dataDxfId="1722" totalsRowDxfId="1721">
      <calculatedColumnFormula>IF(T12&gt;0,"Long","Short")</calculatedColumnFormula>
    </tableColumn>
    <tableColumn id="33" xr3:uid="{F6985B5B-9203-43DA-8157-CAE6E92D0561}" name="Qtdd " dataDxfId="1720"/>
    <tableColumn id="5" xr3:uid="{9A4DCF38-5D0D-4646-8CF9-69904711743E}" name="Qtt Shs" dataDxfId="1719"/>
    <tableColumn id="6" xr3:uid="{BC11B5F3-DE4D-477B-AAED-C5AB103E9DA0}" name="Price Today" dataDxfId="1718" totalsRowDxfId="1717">
      <calculatedColumnFormula array="1">_xll.BDP(B12&amp;" Equity","LAST_PRICE")</calculatedColumnFormula>
    </tableColumn>
    <tableColumn id="7" xr3:uid="{704FFD7D-1208-4AA6-81A9-0E257F085F19}" name="% Chg" dataDxfId="1716" totalsRowDxfId="1715">
      <calculatedColumnFormula>I12/K12-1</calculatedColumnFormula>
    </tableColumn>
    <tableColumn id="8" xr3:uid="{E069BEAC-4A43-4F60-BD21-C3F1FDA777D4}" name="Price Yest" dataDxfId="1714" dataCellStyle="Comma">
      <calculatedColumnFormula array="1">_xll.BDP(B12&amp;" equity","PX_YEST_CLOSE")</calculatedColumnFormula>
    </tableColumn>
    <tableColumn id="9" xr3:uid="{A2F51CF4-C965-4A1F-975F-FCDA401F7124}" name="FX" dataDxfId="1713">
      <calculatedColumnFormula>_xll.BDP(E12&amp;" Curncy","PX_LAST")</calculatedColumnFormula>
    </tableColumn>
    <tableColumn id="10" xr3:uid="{0525E66F-8EF5-4CCF-835F-559F3DAE7E58}" name="Mult" dataDxfId="1712" totalsRowDxfId="1711" dataCellStyle="Comma"/>
    <tableColumn id="11" xr3:uid="{8FC681CE-75F1-4027-AD99-551C42A97619}" name="D1 Exp USD" dataDxfId="1710">
      <calculatedColumnFormula>IFERROR(IF(((I12/L12)*H12*M12)&lt;&gt;0,((I12/L12)*H12*M12),0),"-")</calculatedColumnFormula>
    </tableColumn>
    <tableColumn id="12" xr3:uid="{BE55CED1-1EEB-46EA-A2E5-D244B7925B83}" name="D1 Exp %" dataDxfId="1709">
      <calculatedColumnFormula>IFERROR(IF(Tabelad[[#This Row],[D1 Exp USD]]&lt;&gt;0,N12/$AE$7,0),"-")</calculatedColumnFormula>
    </tableColumn>
    <tableColumn id="13" xr3:uid="{622A85AF-E726-48C1-A6C0-2A26A6E13A5C}" name="D1 P&amp;L bps" dataDxfId="1708">
      <calculatedColumnFormula>IFERROR(IF(Tabelad[[#This Row],[D1 Exp USD]]&lt;&gt;0,((I12-K12)/L12*M12*H12)/$AD$7*10000,0),"-")</calculatedColumnFormula>
    </tableColumn>
    <tableColumn id="14" xr3:uid="{3AD2A39A-5631-414C-9559-F6C81117B46E}" name="Options Exp USD (delta adj)" dataDxfId="1707" totalsRowDxfId="1706">
      <calculatedColumnFormula>IF(SUM(SUMIFS(Options!$AL$4:$AL$32, Options!$D$4:$D$32, B12), SUMIFS(Options!$AL$4:$AL$32, Options!$D$4:$D$32, B12 &amp; " US"))=0,0,SUM(SUMIFS(Options!$AL$4:$AL$32, Options!$D$4:$D$32, B12), SUMIFS(Options!$AL$4:$AL$32, Options!$D$4:$D$32, B12 &amp; " US")))</calculatedColumnFormula>
    </tableColumn>
    <tableColumn id="15" xr3:uid="{F6743957-5F8D-4443-94E6-3E6136CB024F}" name="Option Exp %" dataDxfId="1705" totalsRowDxfId="1704" dataCellStyle="Percent">
      <calculatedColumnFormula>Q12/$AE$7</calculatedColumnFormula>
    </tableColumn>
    <tableColumn id="16" xr3:uid="{48C8F341-ED13-4859-B6ED-AB346A494BEF}" name="Options P&amp;L bps" dataDxfId="1703" totalsRowDxfId="1702">
      <calculatedColumnFormula>IF(SUM(SUMIFS(Options!$AK$4:$AK$32, Options!$D$4:$D$32, B12), SUMIFS(Options!$AK$4:$AK$32, Options!$D$4:$D$32, B12 &amp; " US"))=0,0,SUM(SUMIFS(Options!$AK$4:$AK$32, Options!$D$4:$D$32, B12), SUMIFS(Options!AK$4:$AK$32, Options!$D$4:$D$32, B12 &amp; " US")))</calculatedColumnFormula>
    </tableColumn>
    <tableColumn id="17" xr3:uid="{4E94A772-CD12-4BE4-A04C-0E1B9CF86096}" name="Exp" dataDxfId="1701" totalsRowDxfId="1700">
      <calculatedColumnFormula>N12+Q12</calculatedColumnFormula>
    </tableColumn>
    <tableColumn id="18" xr3:uid="{56683745-C1CE-4341-A873-C851B97E4432}" name="Exp %" dataDxfId="1699" totalsRowDxfId="1698">
      <calculatedColumnFormula>T12/$AE$7</calculatedColumnFormula>
    </tableColumn>
    <tableColumn id="19" xr3:uid="{AD790890-4299-4C9E-A460-9342E2B4BE92}" name="P&amp;L bps" dataDxfId="1697" totalsRowDxfId="1696">
      <calculatedColumnFormula>P12+S12</calculatedColumnFormula>
    </tableColumn>
    <tableColumn id="20" xr3:uid="{A3132FF2-B491-42D2-B6D5-98FB024D0411}" name="xx" dataDxfId="1695" totalsRowDxfId="1694">
      <calculatedColumnFormula>$W$10/(I12/L12*M12)</calculatedColumnFormula>
    </tableColumn>
    <tableColumn id="21" xr3:uid="{68119C5E-24ED-4841-8DFC-985A70CC957B}" name="Ticker2" dataDxfId="1693" totalsRowDxfId="1692"/>
    <tableColumn id="22" xr3:uid="{EAB0ADAA-AF64-4574-AD5E-BAD2211681D1}" name="xx2" dataDxfId="1691" totalsRowDxfId="1690">
      <calculatedColumnFormula>Tabelad[[#This Row],[Exp %]]*$Y$10*$AD$7/Tabelad[[#This Row],[Price Today]]</calculatedColumnFormula>
    </tableColumn>
    <tableColumn id="23" xr3:uid="{160D9866-3FEF-4C23-ADDC-0615A4FD8D8A}" name="Beta Adj" dataDxfId="1689">
      <calculatedColumnFormula>Tabelad[[#This Row],[Vol 10d]]/16*Tabelad[[#This Row],[Exp %]]*100</calculatedColumnFormula>
    </tableColumn>
    <tableColumn id="27" xr3:uid="{5FC9F15D-E683-4C75-83A6-A027ED24C573}" name="Expo Beta Adj" dataDxfId="1688" totalsRowDxfId="1687">
      <calculatedColumnFormula>Tabelad[[#This Row],[Exp %]]*Tabelad[[#This Row],[Beta Adj2]]</calculatedColumnFormula>
    </tableColumn>
    <tableColumn id="24" xr3:uid="{02F0D998-EE72-4509-80A1-181D260811AE}" name="Vol 10d" dataDxfId="1686">
      <calculatedColumnFormula>_xll.BDP($B12&amp;" Equity","volatility_10d")</calculatedColumnFormula>
    </tableColumn>
    <tableColumn id="25" xr3:uid="{06753197-209B-42CE-8324-F5BF4E6BBC8C}" name="Beta Adj2" dataDxfId="1685" totalsRowDxfId="1684">
      <calculatedColumnFormula>_xll.BDP(B12&amp;" EQUITY","eqy_beta")</calculatedColumnFormula>
    </tableColumn>
    <tableColumn id="26" xr3:uid="{E0099784-2515-472D-A708-E950C7C1F961}" name="Daily P&amp;L" dataDxfId="1683" totalsRowDxfId="1682">
      <calculatedColumnFormula>Tabelad[[#This Row],[D1 P&amp;L bps]]*$AD$5/10000</calculatedColumnFormula>
    </tableColumn>
    <tableColumn id="28" xr3:uid="{E8C15306-AE60-46ED-BE32-1873B2B613BE}" name="VALUE" dataDxfId="1681" totalsRowDxfId="1680"/>
    <tableColumn id="30" xr3:uid="{3553EED7-0690-4464-BFF1-737C1D716FE2}" name="Report Date2" dataDxfId="1679" totalsRowDxfId="1678">
      <calculatedColumnFormula>_xll.BDP(B12&amp;" Equity","EXPECTED_REPORT_DT")</calculatedColumnFormula>
    </tableColumn>
    <tableColumn id="31" xr3:uid="{5102101F-2C4E-4C70-B272-6AB453BA1BFE}" name="Column3" dataDxfId="1677" totalsRowDxfId="1676">
      <calculatedColumnFormula>_xll.BDP(B12&amp;" Index","CHG_PCT_1D_PRE_FROM_REGULAR")/100</calculatedColumnFormula>
    </tableColumn>
    <tableColumn id="32" xr3:uid="{78144925-541C-4BB9-B1CE-5128912D0AEA}" name="Column4" dataDxfId="1675">
      <calculatedColumnFormula>(T12*AG12)/$AD$7*10000</calculatedColumnFormula>
    </tableColumn>
    <tableColumn id="34" xr3:uid="{F48AA587-E15F-424C-9278-DC54512DF635}" name="Column5" dataDxfId="1674">
      <calculatedColumnFormula>_xll.BDP(B12&amp;" Equity","DVD_EX_DT")</calculatedColumn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594F44-C7EB-4454-89DA-F08A9C91DB54}" name="Table2" displayName="Table2" ref="F3:G136" headerRowDxfId="1673" dataDxfId="1672" totalsRowBorderDxfId="1671">
  <autoFilter ref="F3:G136" xr:uid="{50594F44-C7EB-4454-89DA-F08A9C91DB54}"/>
  <tableColumns count="2">
    <tableColumn id="1" xr3:uid="{C2C1762E-B58F-491C-8249-F5F204F351C6}" name="De (Lote)" totalsRowFunction="count" dataDxfId="1670"/>
    <tableColumn id="2" xr3:uid="{2A11C67E-26BC-4BE0-826C-B31A77595F54}" name="Para (Ticker Daniel)" totalsRowFunction="count" dataDxfId="1669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93671-EE2A-4C09-89FB-D750136F995D}">
  <dimension ref="A2:U43"/>
  <sheetViews>
    <sheetView workbookViewId="0">
      <selection activeCell="H18" sqref="H18"/>
    </sheetView>
  </sheetViews>
  <sheetFormatPr defaultRowHeight="15"/>
  <cols>
    <col min="2" max="2" width="42.7109375" bestFit="1" customWidth="1"/>
    <col min="3" max="3" width="14.28515625" bestFit="1" customWidth="1"/>
    <col min="6" max="6" width="11.5703125" bestFit="1" customWidth="1"/>
    <col min="10" max="10" width="15.28515625" bestFit="1" customWidth="1"/>
    <col min="12" max="13" width="10.5703125" bestFit="1" customWidth="1"/>
    <col min="18" max="18" width="11.5703125" bestFit="1" customWidth="1"/>
  </cols>
  <sheetData>
    <row r="2" spans="2:12">
      <c r="B2" t="s">
        <v>2014</v>
      </c>
    </row>
    <row r="3" spans="2:12">
      <c r="B3" t="s">
        <v>2013</v>
      </c>
      <c r="F3">
        <f>0.01*1200000000</f>
        <v>12000000</v>
      </c>
    </row>
    <row r="4" spans="2:12">
      <c r="F4">
        <f>F3/13.92</f>
        <v>862068.96551724139</v>
      </c>
    </row>
    <row r="5" spans="2:12">
      <c r="C5" t="s">
        <v>2002</v>
      </c>
      <c r="D5" t="s">
        <v>2001</v>
      </c>
    </row>
    <row r="6" spans="2:12">
      <c r="B6" t="s">
        <v>1995</v>
      </c>
      <c r="C6" s="391">
        <v>0.41</v>
      </c>
      <c r="D6" s="388">
        <f>C6^2</f>
        <v>0.16809999999999997</v>
      </c>
    </row>
    <row r="7" spans="2:12">
      <c r="B7" t="s">
        <v>1993</v>
      </c>
      <c r="C7" s="391">
        <v>0.25</v>
      </c>
      <c r="D7" s="388">
        <f>C7^2</f>
        <v>6.25E-2</v>
      </c>
    </row>
    <row r="8" spans="2:12">
      <c r="B8" t="s">
        <v>1991</v>
      </c>
      <c r="C8" s="386">
        <f>SQRT(D6+D7+2*C10)</f>
        <v>0.35791060336346558</v>
      </c>
    </row>
    <row r="9" spans="2:12">
      <c r="B9" t="s">
        <v>1989</v>
      </c>
      <c r="C9" s="390">
        <v>-0.5</v>
      </c>
    </row>
    <row r="10" spans="2:12">
      <c r="B10" t="s">
        <v>1987</v>
      </c>
      <c r="C10">
        <f>C9*C6*C7</f>
        <v>-5.1249999999999997E-2</v>
      </c>
    </row>
    <row r="12" spans="2:12">
      <c r="F12" s="397">
        <f>59/300</f>
        <v>0.19666666666666666</v>
      </c>
    </row>
    <row r="13" spans="2:12">
      <c r="C13" s="392"/>
    </row>
    <row r="14" spans="2:12">
      <c r="G14">
        <f>3500000/14.4</f>
        <v>243055.55555555556</v>
      </c>
      <c r="J14" s="396">
        <f>3%*9200000000</f>
        <v>276000000</v>
      </c>
    </row>
    <row r="15" spans="2:12">
      <c r="C15" t="s">
        <v>2002</v>
      </c>
      <c r="D15" t="s">
        <v>2001</v>
      </c>
      <c r="J15" s="395">
        <f>J14/5.19</f>
        <v>53179190.751445085</v>
      </c>
    </row>
    <row r="16" spans="2:12">
      <c r="B16" t="s">
        <v>2012</v>
      </c>
      <c r="C16" s="391">
        <v>0.2</v>
      </c>
      <c r="D16" s="388">
        <f>C16^2</f>
        <v>4.0000000000000008E-2</v>
      </c>
      <c r="F16" s="392"/>
      <c r="J16" s="395">
        <f>J15/31.22</f>
        <v>1703369.3386113096</v>
      </c>
      <c r="K16" s="395">
        <f>J16/100</f>
        <v>17033.693386113096</v>
      </c>
      <c r="L16" s="395">
        <f>J16*1.65</f>
        <v>2810559.4087086609</v>
      </c>
    </row>
    <row r="17" spans="1:21">
      <c r="B17" t="s">
        <v>2011</v>
      </c>
      <c r="C17" s="391">
        <v>0.11700000000000001</v>
      </c>
      <c r="D17" s="388">
        <f>C17^2</f>
        <v>1.3689000000000002E-2</v>
      </c>
      <c r="F17" s="233"/>
    </row>
    <row r="18" spans="1:21">
      <c r="B18" t="s">
        <v>1991</v>
      </c>
      <c r="C18" s="386">
        <f>SQRT(D16+D17+2*C20)</f>
        <v>0.27932955446926844</v>
      </c>
      <c r="J18">
        <v>17000</v>
      </c>
      <c r="K18">
        <v>1.65</v>
      </c>
      <c r="L18" s="396">
        <f>J18*K18*100</f>
        <v>2805000</v>
      </c>
    </row>
    <row r="19" spans="1:21">
      <c r="B19" t="s">
        <v>1989</v>
      </c>
      <c r="C19" s="390">
        <v>0.52</v>
      </c>
      <c r="J19">
        <f>J18*1.6</f>
        <v>27200</v>
      </c>
      <c r="K19">
        <v>0.59599999999999997</v>
      </c>
      <c r="L19" s="396">
        <f>J19*K19*100</f>
        <v>1621120</v>
      </c>
    </row>
    <row r="20" spans="1:21">
      <c r="B20" t="s">
        <v>1987</v>
      </c>
      <c r="C20">
        <f>C19*C16*C17</f>
        <v>1.2168000000000002E-2</v>
      </c>
      <c r="L20" s="395">
        <f>L18-L19</f>
        <v>1183880</v>
      </c>
      <c r="M20" s="395">
        <f>L20*5.2</f>
        <v>6156176</v>
      </c>
      <c r="N20" s="394"/>
    </row>
    <row r="21" spans="1:21">
      <c r="C21" s="392"/>
    </row>
    <row r="23" spans="1:21">
      <c r="B23" t="s">
        <v>2010</v>
      </c>
      <c r="U23">
        <f>0.89-0.24</f>
        <v>0.65</v>
      </c>
    </row>
    <row r="24" spans="1:21">
      <c r="C24" t="s">
        <v>2002</v>
      </c>
      <c r="D24" t="s">
        <v>2001</v>
      </c>
      <c r="U24">
        <f>U23/2</f>
        <v>0.32500000000000001</v>
      </c>
    </row>
    <row r="25" spans="1:21">
      <c r="A25" s="393">
        <v>0.82</v>
      </c>
      <c r="B25" t="s">
        <v>2009</v>
      </c>
      <c r="C25" s="391">
        <v>0.3</v>
      </c>
      <c r="D25" s="388">
        <f>C25^2</f>
        <v>0.09</v>
      </c>
      <c r="I25" t="s">
        <v>2008</v>
      </c>
      <c r="J25">
        <v>21</v>
      </c>
    </row>
    <row r="26" spans="1:21">
      <c r="A26">
        <f>1-A25</f>
        <v>0.18000000000000005</v>
      </c>
      <c r="B26" t="s">
        <v>2007</v>
      </c>
      <c r="C26" s="391">
        <v>0.4</v>
      </c>
      <c r="D26" s="388">
        <f>C26^2</f>
        <v>0.16000000000000003</v>
      </c>
      <c r="I26" t="s">
        <v>2006</v>
      </c>
      <c r="J26">
        <v>1</v>
      </c>
      <c r="R26" s="392"/>
    </row>
    <row r="27" spans="1:21">
      <c r="B27" t="s">
        <v>2005</v>
      </c>
      <c r="C27" s="386">
        <f>SQRT(A25^2 * C25^2 + A26^2 * C26^2 + 2*A25*A26*C28*C25*C26)</f>
        <v>0.27627377725727065</v>
      </c>
      <c r="J27">
        <f>J25+J26</f>
        <v>22</v>
      </c>
      <c r="R27" s="17"/>
    </row>
    <row r="28" spans="1:21">
      <c r="B28" t="s">
        <v>2004</v>
      </c>
      <c r="C28" s="390">
        <v>0.3</v>
      </c>
    </row>
    <row r="29" spans="1:21">
      <c r="B29" t="s">
        <v>2003</v>
      </c>
      <c r="C29">
        <f>C28*C25*C26</f>
        <v>3.5999999999999997E-2</v>
      </c>
    </row>
    <row r="31" spans="1:21">
      <c r="C31" t="s">
        <v>2002</v>
      </c>
      <c r="D31" t="s">
        <v>2001</v>
      </c>
      <c r="F31" t="s">
        <v>2000</v>
      </c>
      <c r="G31" t="s">
        <v>1999</v>
      </c>
      <c r="H31" t="s">
        <v>1998</v>
      </c>
      <c r="I31" t="s">
        <v>1997</v>
      </c>
      <c r="J31" t="s">
        <v>1996</v>
      </c>
    </row>
    <row r="32" spans="1:21">
      <c r="B32" t="s">
        <v>1995</v>
      </c>
      <c r="C32" s="391">
        <v>0.25</v>
      </c>
      <c r="D32" s="388">
        <f>C32^2</f>
        <v>6.25E-2</v>
      </c>
      <c r="F32" s="389">
        <v>0.41370000000000001</v>
      </c>
      <c r="G32" s="389">
        <v>0.43680000000000002</v>
      </c>
      <c r="H32" s="389">
        <v>0.4698</v>
      </c>
      <c r="I32" s="389">
        <v>0.36620000000000003</v>
      </c>
      <c r="J32" s="389">
        <v>0.41830000000000001</v>
      </c>
      <c r="K32" t="s">
        <v>1994</v>
      </c>
      <c r="Q32" s="42">
        <v>0.36620000000000003</v>
      </c>
    </row>
    <row r="33" spans="2:17">
      <c r="B33" t="s">
        <v>1993</v>
      </c>
      <c r="C33" s="391">
        <v>0.122</v>
      </c>
      <c r="D33" s="388">
        <f>C33^2</f>
        <v>1.4884E-2</v>
      </c>
      <c r="E33">
        <f>200*1400</f>
        <v>280000</v>
      </c>
      <c r="F33" s="388">
        <f>F32*SQRT(22/252)</f>
        <v>0.12223528541300993</v>
      </c>
      <c r="G33" s="388">
        <f>G32*SQRT(22/252)</f>
        <v>0.1290606059183049</v>
      </c>
      <c r="H33" s="388">
        <f>H32*SQRT(22/252)</f>
        <v>0.138811063783012</v>
      </c>
      <c r="I33" s="388">
        <f>I32*SQRT(22/252)</f>
        <v>0.10820053545623456</v>
      </c>
      <c r="J33" s="388">
        <f>J32*SQRT(22/252)</f>
        <v>0.12359444014566606</v>
      </c>
      <c r="K33" t="s">
        <v>1992</v>
      </c>
    </row>
    <row r="34" spans="2:17">
      <c r="B34" t="s">
        <v>1991</v>
      </c>
      <c r="C34" s="386">
        <f>SQRT(D32+D33+2*C36)</f>
        <v>0.32780634527110669</v>
      </c>
      <c r="F34" s="388">
        <f>F33^2</f>
        <v>1.4941464999999998E-2</v>
      </c>
      <c r="G34" s="388">
        <f>G33^2</f>
        <v>1.6656639999999997E-2</v>
      </c>
      <c r="H34" s="388">
        <f>H33^2</f>
        <v>1.9268511428571427E-2</v>
      </c>
      <c r="I34" s="388">
        <f>I33^2</f>
        <v>1.1707355873015872E-2</v>
      </c>
      <c r="J34" s="388">
        <f>J33^2</f>
        <v>1.5275585634920631E-2</v>
      </c>
      <c r="K34" t="s">
        <v>1990</v>
      </c>
    </row>
    <row r="35" spans="2:17">
      <c r="B35" t="s">
        <v>1989</v>
      </c>
      <c r="C35" s="390">
        <v>0.49299999999999999</v>
      </c>
      <c r="F35" s="389">
        <v>0.32600000000000001</v>
      </c>
      <c r="G35" s="389">
        <v>0.30270000000000002</v>
      </c>
      <c r="H35" s="389">
        <v>0.35310000000000002</v>
      </c>
      <c r="I35" s="389">
        <v>0.27179999999999999</v>
      </c>
      <c r="J35" s="389">
        <v>0.36080000000000001</v>
      </c>
      <c r="K35" t="s">
        <v>1988</v>
      </c>
      <c r="Q35" s="42">
        <v>0.27179999999999999</v>
      </c>
    </row>
    <row r="36" spans="2:17">
      <c r="B36" t="s">
        <v>1987</v>
      </c>
      <c r="C36">
        <f>C35*C32*C33</f>
        <v>1.50365E-2</v>
      </c>
      <c r="F36" s="388">
        <f>F35*SQRT(1/252)</f>
        <v>2.0536069700168014E-2</v>
      </c>
      <c r="G36" s="388">
        <f>G35*SQRT(1/252)</f>
        <v>1.9068307663315517E-2</v>
      </c>
      <c r="H36" s="388">
        <f>H35*SQRT(1/252)</f>
        <v>2.2243209236593026E-2</v>
      </c>
      <c r="I36" s="388">
        <f>I35*SQRT(1/252)</f>
        <v>1.7121790627317994E-2</v>
      </c>
      <c r="J36" s="388">
        <f>J35*SQRT(1/252)</f>
        <v>2.2728263643621533E-2</v>
      </c>
      <c r="K36" t="s">
        <v>1986</v>
      </c>
    </row>
    <row r="37" spans="2:17">
      <c r="F37" s="388">
        <f>F36*SQRT(21/1)</f>
        <v>9.4108093877908999E-2</v>
      </c>
      <c r="G37" s="388">
        <f>G36*SQRT(21/1)</f>
        <v>8.7381963241849867E-2</v>
      </c>
      <c r="H37" s="388">
        <f>H36*SQRT(21/1)</f>
        <v>0.10193119002542844</v>
      </c>
      <c r="I37" s="388">
        <f>I36*SQRT(21/1)</f>
        <v>7.8461901582870142E-2</v>
      </c>
      <c r="J37" s="388">
        <f>J36*SQRT(21/1)</f>
        <v>0.10415398856180849</v>
      </c>
      <c r="K37" t="s">
        <v>1985</v>
      </c>
    </row>
    <row r="38" spans="2:17">
      <c r="F38" s="388">
        <f>F37^2</f>
        <v>8.8563333333333341E-3</v>
      </c>
      <c r="G38" s="388">
        <f>G37^2</f>
        <v>7.6356075000000015E-3</v>
      </c>
      <c r="H38" s="388">
        <f>H37^2</f>
        <v>1.0389967500000003E-2</v>
      </c>
      <c r="I38" s="388">
        <f>I37^2</f>
        <v>6.1562700000000001E-3</v>
      </c>
      <c r="J38" s="388">
        <f>J37^2</f>
        <v>1.0848053333333335E-2</v>
      </c>
      <c r="K38" t="s">
        <v>1984</v>
      </c>
    </row>
    <row r="39" spans="2:17">
      <c r="F39" s="388">
        <f>F34-F38</f>
        <v>6.0851316666666634E-3</v>
      </c>
      <c r="G39" s="388">
        <f>G34-G38</f>
        <v>9.0210324999999945E-3</v>
      </c>
      <c r="H39" s="388">
        <f>H34-H38</f>
        <v>8.8785439285714238E-3</v>
      </c>
      <c r="I39" s="388">
        <f>I34-I38</f>
        <v>5.5510858730158721E-3</v>
      </c>
      <c r="J39" s="388">
        <f>J34-J38</f>
        <v>4.4275323015872965E-3</v>
      </c>
      <c r="K39" t="s">
        <v>1983</v>
      </c>
    </row>
    <row r="40" spans="2:17">
      <c r="F40" s="387">
        <f>F39^0.5</f>
        <v>7.8007253936199186E-2</v>
      </c>
      <c r="G40" s="387">
        <f>G39^0.5</f>
        <v>9.4979116125598867E-2</v>
      </c>
      <c r="H40" s="387">
        <f>H39^0.5</f>
        <v>9.4226025749637898E-2</v>
      </c>
      <c r="I40" s="387">
        <f>I39^0.5</f>
        <v>7.4505609674814899E-2</v>
      </c>
      <c r="J40" s="387">
        <f>J39^0.5</f>
        <v>6.6539704700181057E-2</v>
      </c>
      <c r="K40" t="s">
        <v>1982</v>
      </c>
    </row>
    <row r="41" spans="2:17">
      <c r="F41" s="386">
        <f>F40*SQRT(252)</f>
        <v>1.2383267662454847</v>
      </c>
      <c r="G41" s="386">
        <f>G40*SQRT(252)</f>
        <v>1.5077467260783552</v>
      </c>
      <c r="H41" s="386">
        <f>H40*SQRT(252)</f>
        <v>1.4957917869810622</v>
      </c>
      <c r="I41" s="386">
        <f>I40*SQRT(252)</f>
        <v>1.1827398868728491</v>
      </c>
      <c r="J41" s="386">
        <f>J40*SQRT(252)</f>
        <v>1.0562850656901284</v>
      </c>
      <c r="K41" t="s">
        <v>1981</v>
      </c>
    </row>
    <row r="42" spans="2:17">
      <c r="F42" s="385">
        <f>F40/F36</f>
        <v>3.7985483627162102</v>
      </c>
      <c r="G42" s="385">
        <f>G40/G36</f>
        <v>4.9809934789506274</v>
      </c>
      <c r="H42" s="385">
        <f>H40/H36</f>
        <v>4.2361704530757907</v>
      </c>
      <c r="I42" s="385">
        <f>I40/I36</f>
        <v>4.3515080458898048</v>
      </c>
      <c r="J42" s="385">
        <f>J40/J36</f>
        <v>2.9276193616688699</v>
      </c>
      <c r="K42" s="58" t="s">
        <v>1980</v>
      </c>
    </row>
    <row r="43" spans="2:17">
      <c r="J43" s="4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49D8-A06C-4EE4-B43E-2625789A8753}">
  <sheetPr codeName="Sheet11"/>
  <dimension ref="A2:Z20"/>
  <sheetViews>
    <sheetView workbookViewId="0">
      <selection activeCell="F9" sqref="F9"/>
    </sheetView>
  </sheetViews>
  <sheetFormatPr defaultRowHeight="15" outlineLevelCol="1"/>
  <cols>
    <col min="1" max="1" width="8" style="2" customWidth="1"/>
    <col min="2" max="3" width="8" customWidth="1"/>
    <col min="5" max="5" width="15.42578125" bestFit="1" customWidth="1"/>
    <col min="6" max="6" width="26.85546875" customWidth="1"/>
    <col min="7" max="7" width="17" customWidth="1"/>
    <col min="8" max="8" width="9.28515625" customWidth="1"/>
    <col min="9" max="9" width="8.28515625" customWidth="1"/>
    <col min="10" max="10" width="8.7109375" customWidth="1"/>
    <col min="11" max="11" width="7.85546875" customWidth="1"/>
    <col min="12" max="12" width="10.42578125" customWidth="1"/>
    <col min="13" max="13" width="10.42578125" customWidth="1" outlineLevel="1"/>
    <col min="14" max="14" width="9.140625" customWidth="1" outlineLevel="1"/>
    <col min="15" max="15" width="10.42578125" customWidth="1" outlineLevel="1"/>
    <col min="16" max="19" width="7.42578125" customWidth="1"/>
    <col min="20" max="22" width="7.42578125" hidden="1" customWidth="1" outlineLevel="1"/>
    <col min="23" max="23" width="0" hidden="1" customWidth="1" outlineLevel="1"/>
    <col min="24" max="24" width="9.140625" collapsed="1"/>
  </cols>
  <sheetData>
    <row r="2" spans="1:26" s="133" customFormat="1" ht="45.75" thickBot="1">
      <c r="A2" s="157"/>
      <c r="F2" s="109" t="s">
        <v>7</v>
      </c>
      <c r="H2" s="134" t="s">
        <v>8</v>
      </c>
      <c r="I2" s="134"/>
      <c r="J2" s="135">
        <v>45558</v>
      </c>
      <c r="K2" s="151"/>
      <c r="L2" s="136" t="s">
        <v>9</v>
      </c>
      <c r="M2" s="133" t="s">
        <v>10</v>
      </c>
      <c r="N2" s="136" t="s">
        <v>11</v>
      </c>
      <c r="O2" s="133" t="s">
        <v>12</v>
      </c>
      <c r="P2" s="133" t="s">
        <v>13</v>
      </c>
      <c r="S2" s="133" t="s">
        <v>14</v>
      </c>
      <c r="T2" s="133" t="s">
        <v>15</v>
      </c>
      <c r="U2" s="133" t="s">
        <v>16</v>
      </c>
      <c r="V2" s="133" t="s">
        <v>17</v>
      </c>
      <c r="Y2" s="133" t="s">
        <v>18</v>
      </c>
    </row>
    <row r="4" spans="1:26" s="6" customFormat="1">
      <c r="A4" s="124"/>
      <c r="T4" s="6" t="s">
        <v>19</v>
      </c>
    </row>
    <row r="5" spans="1:26" s="154" customFormat="1" ht="45.75" thickBot="1">
      <c r="A5" s="158" t="s">
        <v>20</v>
      </c>
      <c r="B5" s="154" t="s">
        <v>21</v>
      </c>
      <c r="C5" s="154" t="s">
        <v>22</v>
      </c>
      <c r="F5" s="155"/>
      <c r="G5" s="155"/>
      <c r="H5" s="155" t="s">
        <v>5</v>
      </c>
      <c r="I5" s="155" t="s">
        <v>23</v>
      </c>
      <c r="J5" s="155" t="s">
        <v>24</v>
      </c>
      <c r="K5" s="155" t="s">
        <v>25</v>
      </c>
      <c r="L5" s="155" t="s">
        <v>26</v>
      </c>
      <c r="M5" s="155" t="s">
        <v>27</v>
      </c>
      <c r="N5" s="155" t="s">
        <v>28</v>
      </c>
      <c r="O5" s="155" t="s">
        <v>29</v>
      </c>
      <c r="P5" s="155" t="s">
        <v>30</v>
      </c>
      <c r="Q5" s="155" t="s">
        <v>31</v>
      </c>
      <c r="R5" s="155" t="s">
        <v>32</v>
      </c>
      <c r="S5" s="155" t="s">
        <v>33</v>
      </c>
      <c r="T5" s="155" t="s">
        <v>34</v>
      </c>
      <c r="U5" s="156" t="s">
        <v>35</v>
      </c>
      <c r="V5" s="156" t="s">
        <v>36</v>
      </c>
      <c r="W5" s="155"/>
      <c r="X5" s="155"/>
      <c r="Y5" s="155"/>
      <c r="Z5" s="155"/>
    </row>
    <row r="6" spans="1:26">
      <c r="A6" s="2" t="e">
        <f>C6/B6</f>
        <v>#VALUE!</v>
      </c>
      <c r="B6" s="144" t="e">
        <f>H6-J6</f>
        <v>#VALUE!</v>
      </c>
      <c r="C6" s="144">
        <f>L6-H6</f>
        <v>1.1099999999999994</v>
      </c>
      <c r="E6" t="s">
        <v>37</v>
      </c>
      <c r="F6" t="s">
        <v>38</v>
      </c>
      <c r="G6" t="s">
        <v>39</v>
      </c>
      <c r="H6" s="147" cm="1">
        <f t="array" ref="H6">IF(ISNUMBER(_xlfn.SINGLE(_xll.BDP($E6,H$2))),  _xll.BDP($E6,H$2), "nmf")</f>
        <v>33.24</v>
      </c>
      <c r="I6" s="152" t="e">
        <f>H6/J6-1</f>
        <v>#VALUE!</v>
      </c>
      <c r="J6" s="148" t="str" cm="1">
        <f t="array" ref="J6">IF(ISTEXT($E6),_xll.BDH($E6,"PX_LAST",J$2,J$2,"Fill=P","CDR=US"),"")</f>
        <v>#N/A Requesting Data...</v>
      </c>
      <c r="K6" s="152">
        <f t="shared" ref="K6:K20" si="0">H6/L6-1</f>
        <v>-3.2314410480349332E-2</v>
      </c>
      <c r="L6" s="148" cm="1">
        <f t="array" ref="L6">IF(ISNUMBER(_xlfn.SINGLE(_xll.BDP($E6,L$2))),  _xll.BDP($E6,L$2), "nmf")</f>
        <v>34.35</v>
      </c>
      <c r="M6" t="str" cm="1">
        <f t="array" ref="M6">_xll.BDP(E6,M$2)</f>
        <v>12/01/2026</v>
      </c>
      <c r="N6" s="148" cm="1">
        <f t="array" ref="N6">IF(ISNUMBER(_xlfn.SINGLE(_xll.BDP($E6,N$2))),  _xll.BDP($E6,N$2), "nmf")</f>
        <v>23.265000000000001</v>
      </c>
      <c r="O6" t="str" cm="1">
        <f t="array" ref="O6">_xll.BDP(E6,O$2)</f>
        <v>07/04/2025</v>
      </c>
      <c r="P6" s="143"/>
      <c r="Q6" s="143"/>
      <c r="R6" s="143"/>
      <c r="S6" s="143"/>
      <c r="T6" s="149"/>
      <c r="U6" s="150"/>
      <c r="V6" s="150"/>
      <c r="W6" s="149"/>
      <c r="Y6" cm="1">
        <f t="array" ref="Y6">_xll.BDP(E6,Y$2)</f>
        <v>0.28616484999656677</v>
      </c>
    </row>
    <row r="7" spans="1:26">
      <c r="B7" s="144"/>
      <c r="C7" s="144"/>
      <c r="E7" t="s">
        <v>40</v>
      </c>
      <c r="F7" t="str" cm="1">
        <f t="array" ref="F7">_xll.BDP($E7,F$2)</f>
        <v>CSI 300 Net Return USD</v>
      </c>
      <c r="G7" t="s">
        <v>41</v>
      </c>
      <c r="H7" s="141" cm="1">
        <f t="array" ref="H7">IF(ISNUMBER(_xlfn.SINGLE(_xll.BDP($E7,H$2))),  _xll.BDP($E7,H$2), "nmf")</f>
        <v>7908.1</v>
      </c>
      <c r="I7" s="152" t="e">
        <f t="shared" ref="I7:I20" si="1">H7/J7-1</f>
        <v>#VALUE!</v>
      </c>
      <c r="J7" s="142" t="str" cm="1">
        <f t="array" ref="J7">IF(ISTEXT($E7),_xll.BDH($E7,"PX_LAST",J$2,J$2,"Fill=P","CDR=US"),"")</f>
        <v>#N/A Requesting Data...</v>
      </c>
      <c r="K7" s="152">
        <f t="shared" si="0"/>
        <v>-2.0954866441510456E-2</v>
      </c>
      <c r="L7" s="142" cm="1">
        <f t="array" ref="L7">IF(ISNUMBER(_xlfn.SINGLE(_xll.BDP($E7,L$2))),  _xll.BDP($E7,L$2), "nmf")</f>
        <v>8077.36</v>
      </c>
      <c r="M7" t="str" cm="1">
        <f t="array" ref="M7">_xll.BDP(E7,M$2)</f>
        <v>12/01/2026</v>
      </c>
      <c r="N7" s="142" cm="1">
        <f t="array" ref="N7">IF(ISNUMBER(_xlfn.SINGLE(_xll.BDP($E7,N$2))),  _xll.BDP($E7,N$2), "nmf")</f>
        <v>5645.84</v>
      </c>
      <c r="O7" t="str" cm="1">
        <f t="array" ref="O7">_xll.BDP(E7,O$2)</f>
        <v>07/04/2025</v>
      </c>
      <c r="P7" s="143" cm="1">
        <f t="array" ref="P7">_xll.BDP($E7,P$2)</f>
        <v>16.913950953385275</v>
      </c>
      <c r="Q7" s="152" t="e">
        <f>$P7/T7-1</f>
        <v>#VALUE!</v>
      </c>
      <c r="R7" s="152" t="e">
        <f>$P7/U7-1</f>
        <v>#VALUE!</v>
      </c>
      <c r="S7" s="143" cm="1">
        <f t="array" ref="S7">_xll.BDP($E7,S$2)</f>
        <v>10.810929469892773</v>
      </c>
      <c r="T7" s="149" t="e">
        <f>MEDIAN(_xll.BDH($E7," best pe ratio","-7ay",""," be997=1gy","array=true"," dts=h"  ))</f>
        <v>#VALUE!</v>
      </c>
      <c r="U7" s="150" t="e">
        <f>T7+W7</f>
        <v>#VALUE!</v>
      </c>
      <c r="V7" s="150" t="e">
        <f>T7-W7</f>
        <v>#VALUE!</v>
      </c>
      <c r="W7" s="149" t="e">
        <f>STDEV(_xll.BDH($E7," best pe ratio","-7ay",""," be997=1gy","array=true"," dts=h"  ))</f>
        <v>#VALUE!</v>
      </c>
    </row>
    <row r="8" spans="1:26" s="137" customFormat="1">
      <c r="A8" s="140"/>
      <c r="E8" s="137" t="s">
        <v>42</v>
      </c>
      <c r="F8" s="137" t="str" cm="1">
        <f t="array" ref="F8">_xll.BDP($E8,F$2)</f>
        <v>CSI 300 INDEX</v>
      </c>
      <c r="G8" s="137" t="s">
        <v>43</v>
      </c>
      <c r="H8" s="138" cm="1">
        <f t="array" ref="H8">IF(ISNUMBER(_xlfn.SINGLE(_xll.BDP($E8,H$2))),  _xll.BDP($E8,H$2), "nmf")</f>
        <v>4660.1099999999997</v>
      </c>
      <c r="I8" s="153" t="e">
        <f t="shared" si="1"/>
        <v>#VALUE!</v>
      </c>
      <c r="J8" s="139" t="str" cm="1">
        <f t="array" ref="J8">IF(ISTEXT($E8),_xll.BDH($E8,"PX_LAST",J$2,J$2,"Fill=P","CDR=US"),"")</f>
        <v>#N/A Requesting Data...</v>
      </c>
      <c r="K8" s="153">
        <f t="shared" si="0"/>
        <v>-3.6562220899077236E-2</v>
      </c>
      <c r="L8" s="139" cm="1">
        <f t="array" ref="L8">IF(ISNUMBER(_xlfn.SINGLE(_xll.BDP($E8,L$2))),  _xll.BDP($E8,L$2), "nmf")</f>
        <v>4836.96</v>
      </c>
      <c r="M8" s="137" t="str" cm="1">
        <f t="array" ref="M8">_xll.BDP(E8,M$2)</f>
        <v>13/01/2026</v>
      </c>
      <c r="N8" s="139" cm="1">
        <f t="array" ref="N8">IF(ISNUMBER(_xlfn.SINGLE(_xll.BDP($E8,N$2))),  _xll.BDP($E8,N$2), "nmf")</f>
        <v>3514.12</v>
      </c>
      <c r="O8" s="137" t="str" cm="1">
        <f t="array" ref="O8">_xll.BDP(E8,O$2)</f>
        <v>07/04/2025</v>
      </c>
      <c r="P8" s="140" cm="1">
        <f t="array" ref="P8">_xll.BDP($E8,P$2)</f>
        <v>16.738353283196091</v>
      </c>
      <c r="Q8" s="153" t="e">
        <f>P8/T8-1</f>
        <v>#VALUE!</v>
      </c>
      <c r="R8" s="153" t="e">
        <f>$P8/U8-1</f>
        <v>#VALUE!</v>
      </c>
      <c r="S8" s="140" cm="1">
        <f t="array" ref="S8">_xll.BDP($E8,S$2)</f>
        <v>10.782730400789847</v>
      </c>
      <c r="T8" s="145" t="e">
        <f>MEDIAN(_xll.BDH($E8," best pe ratio","-7ay",""," be997=1gy","array=true"," dts=h"  ))</f>
        <v>#VALUE!</v>
      </c>
      <c r="U8" s="146" t="e">
        <f>T8+W8</f>
        <v>#VALUE!</v>
      </c>
      <c r="V8" s="146" t="e">
        <f>T8-W8</f>
        <v>#VALUE!</v>
      </c>
      <c r="W8" s="145" t="e">
        <f>STDEV(_xll.BDH($E8," best pe ratio","-7ay",""," be997=1gy","array=true"," dts=h"  ))</f>
        <v>#VALUE!</v>
      </c>
    </row>
    <row r="9" spans="1:26">
      <c r="A9" s="2" t="e">
        <f>C9/B9</f>
        <v>#VALUE!</v>
      </c>
      <c r="B9" s="144" t="e">
        <f>H9-J9</f>
        <v>#VALUE!</v>
      </c>
      <c r="C9" s="144">
        <f>L9-H9</f>
        <v>3.2800000000000011</v>
      </c>
      <c r="E9" t="s">
        <v>44</v>
      </c>
      <c r="F9" t="s">
        <v>45</v>
      </c>
      <c r="G9" t="s">
        <v>39</v>
      </c>
      <c r="H9" s="147" cm="1">
        <f t="array" ref="H9">IF(ISNUMBER(_xlfn.SINGLE(_xll.BDP($E9,H$2))),  _xll.BDP($E9,H$2), "nmf")</f>
        <v>38.72</v>
      </c>
      <c r="I9" s="152" t="e">
        <f t="shared" si="1"/>
        <v>#VALUE!</v>
      </c>
      <c r="J9" s="148" t="str" cm="1">
        <f t="array" ref="J9">IF(ISTEXT($E9),_xll.BDH($E9,"PX_LAST",J$2,J$2,"Fill=P","CDR=US"),"")</f>
        <v>#N/A Requesting Data...</v>
      </c>
      <c r="K9" s="152">
        <f t="shared" si="0"/>
        <v>-7.8095238095238106E-2</v>
      </c>
      <c r="L9" s="148" cm="1">
        <f t="array" ref="L9">IF(ISNUMBER(_xlfn.SINGLE(_xll.BDP($E9,L$2))),  _xll.BDP($E9,L$2), "nmf")</f>
        <v>42</v>
      </c>
      <c r="M9" t="str" cm="1">
        <f t="array" ref="M9">_xll.BDP(E9,M$2)</f>
        <v>02/10/2025</v>
      </c>
      <c r="N9" s="148" cm="1">
        <f t="array" ref="N9">IF(ISNUMBER(_xlfn.SINGLE(_xll.BDP($E9,N$2))),  _xll.BDP($E9,N$2), "nmf")</f>
        <v>29.204999999999998</v>
      </c>
      <c r="O9" t="str" cm="1">
        <f t="array" ref="O9">_xll.BDP(E9,O$2)</f>
        <v>08/04/2025</v>
      </c>
      <c r="P9" s="143"/>
      <c r="Q9" s="152"/>
      <c r="R9" s="152"/>
      <c r="S9" s="143"/>
    </row>
    <row r="10" spans="1:26">
      <c r="B10" s="144"/>
      <c r="C10" s="144"/>
      <c r="E10" t="s">
        <v>46</v>
      </c>
      <c r="F10" t="str" cm="1">
        <f t="array" ref="F10">_xll.BDP($E10,F$2)</f>
        <v>FTSE China 50 Net TR</v>
      </c>
      <c r="G10" t="s">
        <v>47</v>
      </c>
      <c r="H10" s="141" cm="1">
        <f t="array" ref="H10">IF(ISNUMBER(_xlfn.SINGLE(_xll.BDP($E10,H$2))),  _xll.BDP($E10,H$2), "nmf")</f>
        <v>36488.82</v>
      </c>
      <c r="I10" s="152" t="e">
        <f t="shared" si="1"/>
        <v>#VALUE!</v>
      </c>
      <c r="J10" s="142" t="str" cm="1">
        <f t="array" ref="J10">IF(ISTEXT($E10),_xll.BDH($E10,"PX_LAST",J$2,J$2,"Fill=P","CDR=US"),"")</f>
        <v>#N/A Requesting Data...</v>
      </c>
      <c r="K10" s="152">
        <f t="shared" si="0"/>
        <v>-6.0450349542311987E-2</v>
      </c>
      <c r="L10" s="142" cm="1">
        <f t="array" ref="L10">IF(ISNUMBER(_xlfn.SINGLE(_xll.BDP($E10,L$2))),  _xll.BDP($E10,L$2), "nmf")</f>
        <v>38836.5</v>
      </c>
      <c r="M10" t="str" cm="1">
        <f t="array" ref="M10">_xll.BDP(E10,M$2)</f>
        <v>02/10/2025</v>
      </c>
      <c r="N10" s="142" cm="1">
        <f t="array" ref="N10">IF(ISNUMBER(_xlfn.SINGLE(_xll.BDP($E10,N$2))),  _xll.BDP($E10,N$2), "nmf")</f>
        <v>27588.48</v>
      </c>
      <c r="O10" t="str" cm="1">
        <f t="array" ref="O10">_xll.BDP(E10,O$2)</f>
        <v>07/04/2025</v>
      </c>
      <c r="P10" s="143" cm="1">
        <f t="array" ref="P10">_xll.BDP($E10,P$2)</f>
        <v>11.127423461305399</v>
      </c>
      <c r="Q10" s="152" t="e">
        <f>P10/T10-1</f>
        <v>#VALUE!</v>
      </c>
      <c r="R10" s="152" t="e">
        <f>$P10/U10-1</f>
        <v>#VALUE!</v>
      </c>
      <c r="S10" s="143" cm="1">
        <f t="array" ref="S10">_xll.BDP($E10,S$2)</f>
        <v>11.219390120681705</v>
      </c>
      <c r="T10" s="149" t="e">
        <f>MEDIAN(_xll.BDH($E10," best pe ratio","-7ay",""," be997=1gy","array=true"," dts=h"  ))</f>
        <v>#VALUE!</v>
      </c>
      <c r="U10" s="150" t="e">
        <f>T10+W10</f>
        <v>#VALUE!</v>
      </c>
      <c r="V10" s="150" t="e">
        <f>T10-W10</f>
        <v>#VALUE!</v>
      </c>
      <c r="W10" s="149" t="e">
        <f>STDEV(_xll.BDH($E10," best pe ratio","-7ay",""," be997=1gy","array=true"," dts=h"  ))</f>
        <v>#VALUE!</v>
      </c>
    </row>
    <row r="11" spans="1:26" s="137" customFormat="1">
      <c r="A11" s="140"/>
      <c r="E11" s="137" t="s">
        <v>48</v>
      </c>
      <c r="F11" s="137" t="str" cm="1">
        <f t="array" ref="F11">_xll.BDP($E11,F$2)</f>
        <v>FTSE CHINA A50</v>
      </c>
      <c r="G11" s="137" t="s">
        <v>43</v>
      </c>
      <c r="H11" s="138" cm="1">
        <f t="array" ref="H11">IF(ISNUMBER(_xlfn.SINGLE(_xll.BDP($E11,H$2))),  _xll.BDP($E11,H$2), "nmf")</f>
        <v>14791.34</v>
      </c>
      <c r="I11" s="153" t="e">
        <f t="shared" si="1"/>
        <v>#VALUE!</v>
      </c>
      <c r="J11" s="139" t="str" cm="1">
        <f t="array" ref="J11">IF(ISTEXT($E11),_xll.BDH($E11,"PX_LAST",J$2,J$2,"Fill=P","CDR=US"),"")</f>
        <v>#N/A Requesting Data...</v>
      </c>
      <c r="K11" s="153">
        <f t="shared" si="0"/>
        <v>-6.1439972182052771E-2</v>
      </c>
      <c r="L11" s="139" cm="1">
        <f t="array" ref="L11">IF(ISNUMBER(_xlfn.SINGLE(_xll.BDP($E11,L$2))),  _xll.BDP($E11,L$2), "nmf")</f>
        <v>15759.61</v>
      </c>
      <c r="M11" s="137" t="str" cm="1">
        <f t="array" ref="M11">_xll.BDP(E11,M$2)</f>
        <v>28/10/2025</v>
      </c>
      <c r="N11" s="139" cm="1">
        <f t="array" ref="N11">IF(ISNUMBER(_xlfn.SINGLE(_xll.BDP($E11,N$2))),  _xll.BDP($E11,N$2), "nmf")</f>
        <v>12182.84</v>
      </c>
      <c r="O11" s="137" t="str" cm="1">
        <f t="array" ref="O11">_xll.BDP(E11,O$2)</f>
        <v>07/04/2025</v>
      </c>
      <c r="P11" s="140" cm="1">
        <f t="array" ref="P11">_xll.BDP($E11,P$2)</f>
        <v>13.30835323998916</v>
      </c>
      <c r="Q11" s="153" t="e">
        <f>P11/T11-1</f>
        <v>#VALUE!</v>
      </c>
      <c r="R11" s="153" t="e">
        <f>$P11/U11-1</f>
        <v>#VALUE!</v>
      </c>
      <c r="S11" s="140" cm="1">
        <f t="array" ref="S11">_xll.BDP($E11,S$2)</f>
        <v>12.198299283299416</v>
      </c>
      <c r="T11" s="145" t="e">
        <f>MEDIAN(_xll.BDH($E11," best pe ratio","-7ay",""," be997=1gy","array=true"," dts=h"  ))</f>
        <v>#VALUE!</v>
      </c>
      <c r="U11" s="146" t="e">
        <f>T11+W11</f>
        <v>#VALUE!</v>
      </c>
      <c r="V11" s="146" t="e">
        <f>T11-W11</f>
        <v>#VALUE!</v>
      </c>
      <c r="W11" s="145" t="e">
        <f>STDEV(_xll.BDH($E11," best pe ratio","-7ay",""," be997=1gy","array=true"," dts=h"  ))</f>
        <v>#VALUE!</v>
      </c>
    </row>
    <row r="12" spans="1:26">
      <c r="A12" s="2" t="e">
        <f>C12/B12</f>
        <v>#VALUE!</v>
      </c>
      <c r="B12" s="144" t="e">
        <f>H12-J12</f>
        <v>#VALUE!</v>
      </c>
      <c r="C12" s="144">
        <f>L12-H12</f>
        <v>8.9450000000000003</v>
      </c>
      <c r="E12" t="s">
        <v>49</v>
      </c>
      <c r="F12" t="s">
        <v>50</v>
      </c>
      <c r="G12" t="s">
        <v>39</v>
      </c>
      <c r="H12" s="147" cm="1">
        <f t="array" ref="H12">IF(ISNUMBER(_xlfn.SINGLE(_xll.BDP($E12,H$2))),  _xll.BDP($E12,H$2), "nmf")</f>
        <v>34.42</v>
      </c>
      <c r="I12" s="152" t="e">
        <f t="shared" si="1"/>
        <v>#VALUE!</v>
      </c>
      <c r="J12" s="148" t="str" cm="1">
        <f t="array" ref="J12">IF(ISTEXT($E12),_xll.BDH($E12,"PX_LAST",J$2,J$2,"Fill=P","CDR=US"),"")</f>
        <v>#N/A Requesting Data...</v>
      </c>
      <c r="K12" s="152">
        <f t="shared" si="0"/>
        <v>-0.20627233944425227</v>
      </c>
      <c r="L12" s="148" cm="1">
        <f t="array" ref="L12">IF(ISNUMBER(_xlfn.SINGLE(_xll.BDP($E12,L$2))),  _xll.BDP($E12,L$2), "nmf")</f>
        <v>43.365000000000002</v>
      </c>
      <c r="M12" t="str" cm="1">
        <f t="array" ref="M12">_xll.BDP(E12,M$2)</f>
        <v>02/10/2025</v>
      </c>
      <c r="N12" s="148" cm="1">
        <f t="array" ref="N12">IF(ISNUMBER(_xlfn.SINGLE(_xll.BDP($E12,N$2))),  _xll.BDP($E12,N$2), "nmf")</f>
        <v>27.824999999999999</v>
      </c>
      <c r="O12" t="str" cm="1">
        <f t="array" ref="O12">_xll.BDP(E12,O$2)</f>
        <v>08/04/2025</v>
      </c>
      <c r="P12" s="143"/>
      <c r="Q12" s="152"/>
      <c r="R12" s="152"/>
      <c r="S12" s="143"/>
    </row>
    <row r="13" spans="1:26">
      <c r="B13" s="144"/>
      <c r="C13" s="144"/>
      <c r="E13" t="s">
        <v>51</v>
      </c>
      <c r="F13" t="str" cm="1">
        <f t="array" ref="F13">_xll.BDP($E13,F$2)</f>
        <v>CSIOverseasChinaInten</v>
      </c>
      <c r="G13" t="s">
        <v>52</v>
      </c>
      <c r="H13" s="141" cm="1">
        <f t="array" ref="H13">IF(ISNUMBER(_xlfn.SINGLE(_xll.BDP($E13,H$2))),  _xll.BDP($E13,H$2), "nmf")</f>
        <v>5864.1836000000003</v>
      </c>
      <c r="I13" s="152" t="e">
        <f t="shared" si="1"/>
        <v>#VALUE!</v>
      </c>
      <c r="J13" s="142" t="str" cm="1">
        <f t="array" ref="J13">IF(ISTEXT($E13),_xll.BDH($E13,"PX_LAST",J$2,J$2,"Fill=P","CDR=US"),"")</f>
        <v>#N/A Requesting Data...</v>
      </c>
      <c r="K13" s="152">
        <f t="shared" si="0"/>
        <v>-0.14704037075237142</v>
      </c>
      <c r="L13" s="142" cm="1">
        <f t="array" ref="L13">IF(ISNUMBER(_xlfn.SINGLE(_xll.BDP($E13,L$2))),  _xll.BDP($E13,L$2), "nmf")</f>
        <v>6875.1009999999997</v>
      </c>
      <c r="M13" t="str" cm="1">
        <f t="array" ref="M13">_xll.BDP(E13,M$2)</f>
        <v>02/10/2025</v>
      </c>
      <c r="N13" s="142" cm="1">
        <f t="array" ref="N13">IF(ISNUMBER(_xlfn.SINGLE(_xll.BDP($E13,N$2))),  _xll.BDP($E13,N$2), "nmf")</f>
        <v>4656.3050000000003</v>
      </c>
      <c r="O13" t="str" cm="1">
        <f t="array" ref="O13">_xll.BDP(E13,O$2)</f>
        <v>07/04/2025</v>
      </c>
      <c r="P13" s="143"/>
      <c r="Q13" s="152"/>
      <c r="R13" s="152"/>
      <c r="S13" s="143"/>
      <c r="T13" s="149"/>
      <c r="U13" s="150"/>
      <c r="V13" s="150"/>
      <c r="W13" s="149"/>
    </row>
    <row r="14" spans="1:26" s="137" customFormat="1">
      <c r="A14" s="140"/>
      <c r="E14" s="137" t="s">
        <v>53</v>
      </c>
      <c r="F14" s="137" t="str" cm="1">
        <f t="array" ref="F14">_xll.BDP($E14,F$2)</f>
        <v>HSTECH</v>
      </c>
      <c r="G14" s="137" t="s">
        <v>43</v>
      </c>
      <c r="H14" s="138" cm="1">
        <f t="array" ref="H14">IF(ISNUMBER(_xlfn.SINGLE(_xll.BDP($E14,H$2))),  _xll.BDP($E14,H$2), "nmf")</f>
        <v>5467.26</v>
      </c>
      <c r="I14" s="153" t="e">
        <f t="shared" si="1"/>
        <v>#VALUE!</v>
      </c>
      <c r="J14" s="139" t="str" cm="1">
        <f t="array" ref="J14">IF(ISTEXT($E14),_xll.BDH($E14,"PX_LAST",J$2,J$2,"Fill=P","CDR=US"),"")</f>
        <v>#N/A Requesting Data...</v>
      </c>
      <c r="K14" s="153">
        <f t="shared" si="0"/>
        <v>-0.18586962024939468</v>
      </c>
      <c r="L14" s="139" cm="1">
        <f t="array" ref="L14">IF(ISNUMBER(_xlfn.SINGLE(_xll.BDP($E14,L$2))),  _xll.BDP($E14,L$2), "nmf")</f>
        <v>6715.46</v>
      </c>
      <c r="M14" s="137" t="str" cm="1">
        <f t="array" ref="M14">_xll.BDP(E14,M$2)</f>
        <v>02/10/2025</v>
      </c>
      <c r="N14" s="139" cm="1">
        <f t="array" ref="N14">IF(ISNUMBER(_xlfn.SINGLE(_xll.BDP($E14,N$2))),  _xll.BDP($E14,N$2), "nmf")</f>
        <v>4296.16</v>
      </c>
      <c r="O14" s="137" t="str" cm="1">
        <f t="array" ref="O14">_xll.BDP(E14,O$2)</f>
        <v>09/04/2025</v>
      </c>
      <c r="P14" s="140" cm="1">
        <f t="array" ref="P14">_xll.BDP($E14,P$2)</f>
        <v>26.421269184252647</v>
      </c>
      <c r="Q14" s="153" t="e">
        <f>P14/T14-1</f>
        <v>#VALUE!</v>
      </c>
      <c r="R14" s="153" t="e">
        <f>$P14/U14-1</f>
        <v>#VALUE!</v>
      </c>
      <c r="S14" s="140" cm="1">
        <f t="array" ref="S14">_xll.BDP($E14,S$2)</f>
        <v>9.4675089465743998</v>
      </c>
      <c r="T14" s="145" t="e">
        <f>MEDIAN(_xll.BDH($E14," best pe ratio","-7ay",""," be997=1gy","array=true"," dts=h"  ))</f>
        <v>#VALUE!</v>
      </c>
      <c r="U14" s="146" t="e">
        <f>T14+W14</f>
        <v>#VALUE!</v>
      </c>
      <c r="V14" s="146" t="e">
        <f>T14-W14</f>
        <v>#VALUE!</v>
      </c>
      <c r="W14" s="145" t="e">
        <f>STDEV(_xll.BDH($E14," best pe ratio","-7ay",""," be997=1gy","array=true"," dts=h"  ))</f>
        <v>#VALUE!</v>
      </c>
    </row>
    <row r="15" spans="1:26">
      <c r="A15" s="2" t="e">
        <f>C15/B15</f>
        <v>#VALUE!</v>
      </c>
      <c r="B15" s="144" t="e">
        <f>H15-J15</f>
        <v>#VALUE!</v>
      </c>
      <c r="C15" s="144">
        <f>L15-H15</f>
        <v>6.300002746582031</v>
      </c>
      <c r="E15" t="s">
        <v>54</v>
      </c>
      <c r="F15" t="s">
        <v>55</v>
      </c>
      <c r="G15" t="s">
        <v>39</v>
      </c>
      <c r="H15" s="147" cm="1">
        <f t="array" ref="H15">IF(ISNUMBER(_xlfn.SINGLE(_xll.BDP($E15,H$2))),  _xll.BDP($E15,H$2), "nmf")</f>
        <v>61.07</v>
      </c>
      <c r="I15" s="152" t="e">
        <f t="shared" si="1"/>
        <v>#VALUE!</v>
      </c>
      <c r="J15" s="148" t="str" cm="1">
        <f t="array" ref="J15">IF(ISTEXT($E15),_xll.BDH($E15,"PX_LAST",J$2,J$2,"Fill=P","CDR=US"),"")</f>
        <v>#N/A Requesting Data...</v>
      </c>
      <c r="K15" s="152">
        <f t="shared" si="0"/>
        <v>-9.3513470235113805E-2</v>
      </c>
      <c r="L15" s="148" cm="1">
        <f t="array" ref="L15">IF(ISNUMBER(_xlfn.SINGLE(_xll.BDP($E15,L$2))),  _xll.BDP($E15,L$2), "nmf")</f>
        <v>67.370002746582031</v>
      </c>
      <c r="M15" t="str" cm="1">
        <f t="array" ref="M15">_xll.BDP(E15,M$2)</f>
        <v>02/10/2025</v>
      </c>
      <c r="N15" s="148" cm="1">
        <f t="array" ref="N15">IF(ISNUMBER(_xlfn.SINGLE(_xll.BDP($E15,N$2))),  _xll.BDP($E15,N$2), "nmf")</f>
        <v>44.709999084472656</v>
      </c>
      <c r="O15" t="str" cm="1">
        <f t="array" ref="O15">_xll.BDP(E15,O$2)</f>
        <v>08/04/2025</v>
      </c>
      <c r="P15" s="143"/>
      <c r="Q15" s="152"/>
      <c r="R15" s="152"/>
      <c r="S15" s="143"/>
    </row>
    <row r="16" spans="1:26">
      <c r="B16" s="144"/>
      <c r="C16" s="144"/>
      <c r="E16" t="s">
        <v>56</v>
      </c>
      <c r="F16" t="str" cm="1">
        <f t="array" ref="F16">_xll.BDP($E16,F$2)</f>
        <v>MSCI Daily TR Net China</v>
      </c>
      <c r="G16" t="s">
        <v>57</v>
      </c>
      <c r="H16" s="141" cm="1">
        <f t="array" ref="H16">IF(ISNUMBER(_xlfn.SINGLE(_xll.BDP($E16,H$2))),  _xll.BDP($E16,H$2), "nmf")</f>
        <v>680.41769999999997</v>
      </c>
      <c r="I16" s="152" t="e">
        <f t="shared" si="1"/>
        <v>#VALUE!</v>
      </c>
      <c r="J16" s="142" t="str" cm="1">
        <f t="array" ref="J16">IF(ISTEXT($E16),_xll.BDH($E16,"PX_LAST",J$2,J$2,"Fill=P","CDR=US"),"")</f>
        <v>#N/A Requesting Data...</v>
      </c>
      <c r="K16" s="152">
        <f t="shared" si="0"/>
        <v>-6.6837467722796973E-2</v>
      </c>
      <c r="L16" s="142" cm="1">
        <f t="array" ref="L16">IF(ISNUMBER(_xlfn.SINGLE(_xll.BDP($E16,L$2))),  _xll.BDP($E16,L$2), "nmf")</f>
        <v>729.15239999999994</v>
      </c>
      <c r="M16" t="str" cm="1">
        <f t="array" ref="M16">_xll.BDP(E16,M$2)</f>
        <v>02/10/2025</v>
      </c>
      <c r="N16" s="142" cm="1">
        <f t="array" ref="N16">IF(ISNUMBER(_xlfn.SINGLE(_xll.BDP($E16,N$2))),  _xll.BDP($E16,N$2), "nmf")</f>
        <v>501.22379999999998</v>
      </c>
      <c r="O16" t="str" cm="1">
        <f t="array" ref="O16">_xll.BDP(E16,O$2)</f>
        <v>07/04/2025</v>
      </c>
      <c r="P16" s="143" cm="1">
        <f t="array" ref="P16">_xll.BDP($E16,P$2)</f>
        <v>14.02146731023335</v>
      </c>
      <c r="Q16" s="152" t="e">
        <f>P16/T16-1</f>
        <v>#VALUE!</v>
      </c>
      <c r="R16" s="152" t="e">
        <f>$P16/U16-1</f>
        <v>#VALUE!</v>
      </c>
      <c r="S16" s="143" cm="1">
        <f t="array" ref="S16">_xll.BDP($E16,S$2)</f>
        <v>11.443163051011529</v>
      </c>
      <c r="T16" s="149" t="e">
        <f>MEDIAN(_xll.BDH($E16," best pe ratio","-7ay",""," be997=1gy","array=true"," dts=h"  ))</f>
        <v>#VALUE!</v>
      </c>
      <c r="U16" s="150" t="e">
        <f>T16+W16</f>
        <v>#VALUE!</v>
      </c>
      <c r="V16" s="150" t="e">
        <f>T16-W16</f>
        <v>#VALUE!</v>
      </c>
      <c r="W16" s="149" t="e">
        <f>STDEV(_xll.BDH($E16," best pe ratio","-7ay",""," be997=1gy","array=true"," dts=h"  ))</f>
        <v>#VALUE!</v>
      </c>
    </row>
    <row r="17" spans="1:23" s="137" customFormat="1">
      <c r="A17" s="140"/>
      <c r="E17" s="137" t="s">
        <v>58</v>
      </c>
      <c r="F17" s="137" t="str" cm="1">
        <f t="array" ref="F17">_xll.BDP($E17,F$2)</f>
        <v>MSCI CHINA</v>
      </c>
      <c r="G17" s="137" t="s">
        <v>43</v>
      </c>
      <c r="H17" s="138" cm="1">
        <f t="array" ref="H17">IF(ISNUMBER(_xlfn.SINGLE(_xll.BDP($E17,H$2))),  _xll.BDP($E17,H$2), "nmf")</f>
        <v>87.19</v>
      </c>
      <c r="I17" s="153" t="e">
        <f t="shared" si="1"/>
        <v>#VALUE!</v>
      </c>
      <c r="J17" s="139" t="str" cm="1">
        <f t="array" ref="J17">IF(ISTEXT($E17),_xll.BDH($E17,"PX_LAST",J$2,J$2,"Fill=P","CDR=US"),"")</f>
        <v>#N/A Requesting Data...</v>
      </c>
      <c r="K17" s="153">
        <f t="shared" si="0"/>
        <v>-4.8040179058849275E-2</v>
      </c>
      <c r="L17" s="139" cm="1">
        <f t="array" ref="L17">IF(ISNUMBER(_xlfn.SINGLE(_xll.BDP($E17,L$2))),  _xll.BDP($E17,L$2), "nmf")</f>
        <v>91.59</v>
      </c>
      <c r="M17" s="137" t="str" cm="1">
        <f t="array" ref="M17">_xll.BDP(E17,M$2)</f>
        <v>02/10/2025</v>
      </c>
      <c r="N17" s="139" cm="1">
        <f t="array" ref="N17">IF(ISNUMBER(_xlfn.SINGLE(_xll.BDP($E17,N$2))),  _xll.BDP($E17,N$2), "nmf")</f>
        <v>62.12</v>
      </c>
      <c r="O17" s="137" t="str" cm="1">
        <f t="array" ref="O17">_xll.BDP(E17,O$2)</f>
        <v>09/04/2025</v>
      </c>
      <c r="P17" s="140" cm="1">
        <f t="array" ref="P17">_xll.BDP($E17,P$2)</f>
        <v>14.02146731023335</v>
      </c>
      <c r="Q17" s="153" t="e">
        <f>P17/T17-1</f>
        <v>#VALUE!</v>
      </c>
      <c r="R17" s="153" t="e">
        <f>$P17/U17-1</f>
        <v>#VALUE!</v>
      </c>
      <c r="S17" s="140" cm="1">
        <f t="array" ref="S17">_xll.BDP($E17,S$2)</f>
        <v>11.443163051011529</v>
      </c>
      <c r="T17" s="145" t="e">
        <f>MEDIAN(_xll.BDH($E17," best pe ratio","-7ay",""," be997=1gy","array=true"," dts=h"  ))</f>
        <v>#VALUE!</v>
      </c>
      <c r="U17" s="146" t="e">
        <f>T17+W17</f>
        <v>#VALUE!</v>
      </c>
      <c r="V17" s="146" t="e">
        <f>T17-W17</f>
        <v>#VALUE!</v>
      </c>
      <c r="W17" s="145" t="e">
        <f>STDEV(_xll.BDH($E17," best pe ratio","-7ay",""," be997=1gy","array=true"," dts=h"  ))</f>
        <v>#VALUE!</v>
      </c>
    </row>
    <row r="18" spans="1:23">
      <c r="E18" t="s">
        <v>59</v>
      </c>
      <c r="F18" t="str" cm="1">
        <f t="array" ref="F18">_xll.BDP($E18,F$2)</f>
        <v>HANG SENG INDEX</v>
      </c>
      <c r="G18" t="s">
        <v>43</v>
      </c>
      <c r="H18" s="141" cm="1">
        <f t="array" ref="H18">IF(ISNUMBER(_xlfn.SINGLE(_xll.BDP($E18,H$2))),  _xll.BDP($E18,H$2), "nmf")</f>
        <v>26834.77</v>
      </c>
      <c r="I18" s="152" t="e">
        <f t="shared" si="1"/>
        <v>#VALUE!</v>
      </c>
      <c r="J18" s="142" t="str" cm="1">
        <f t="array" ref="J18">IF(ISTEXT($E18),_xll.BDH($E18,"PX_LAST",J$2,J$2,"Fill=P","CDR=US"),"")</f>
        <v>#N/A Requesting Data...</v>
      </c>
      <c r="K18" s="152">
        <f t="shared" si="0"/>
        <v>-4.3531709681673414E-2</v>
      </c>
      <c r="L18" s="142" cm="1">
        <f t="array" ref="L18">IF(ISNUMBER(_xlfn.SINGLE(_xll.BDP($E18,L$2))),  _xll.BDP($E18,L$2), "nmf")</f>
        <v>28056.1</v>
      </c>
      <c r="M18" t="str" cm="1">
        <f t="array" ref="M18">_xll.BDP(E18,M$2)</f>
        <v>29/01/2026</v>
      </c>
      <c r="N18" s="142" cm="1">
        <f t="array" ref="N18">IF(ISNUMBER(_xlfn.SINGLE(_xll.BDP($E18,N$2))),  _xll.BDP($E18,N$2), "nmf")</f>
        <v>19260.21</v>
      </c>
      <c r="O18" t="str" cm="1">
        <f t="array" ref="O18">_xll.BDP(E18,O$2)</f>
        <v>09/04/2025</v>
      </c>
      <c r="P18" s="143" cm="1">
        <f t="array" ref="P18">_xll.BDP($E18,P$2)</f>
        <v>13.0642594698993</v>
      </c>
      <c r="Q18" s="152" t="e">
        <f>P18/T18-1</f>
        <v>#VALUE!</v>
      </c>
      <c r="R18" s="152" t="e">
        <f>$P18/U18-1</f>
        <v>#VALUE!</v>
      </c>
      <c r="S18" s="143" cm="1">
        <f t="array" ref="S18">_xll.BDP($E18,S$2)</f>
        <v>10.512259797189309</v>
      </c>
      <c r="T18" s="149" t="e">
        <f>MEDIAN(_xll.BDH($E18," best pe ratio","-7ay",""," be997=1gy","array=true"," dts=h"  ))</f>
        <v>#VALUE!</v>
      </c>
      <c r="U18" s="150" t="e">
        <f>T18+W18</f>
        <v>#VALUE!</v>
      </c>
      <c r="V18" s="150" t="e">
        <f>T18-W18</f>
        <v>#VALUE!</v>
      </c>
      <c r="W18" s="149" t="e">
        <f>STDEV(_xll.BDH($E18," best pe ratio","-7ay",""," be997=1gy","array=true"," dts=h"  ))</f>
        <v>#VALUE!</v>
      </c>
    </row>
    <row r="19" spans="1:23">
      <c r="E19" t="s">
        <v>60</v>
      </c>
      <c r="F19" t="str" cm="1">
        <f t="array" ref="F19">_xll.BDP($E19,F$2)</f>
        <v>HANG SENG CHINA ENT INDX</v>
      </c>
      <c r="G19" t="s">
        <v>43</v>
      </c>
      <c r="H19" s="141" cm="1">
        <f t="array" ref="H19">IF(ISNUMBER(_xlfn.SINGLE(_xll.BDP($E19,H$2))),  _xll.BDP($E19,H$2), "nmf")</f>
        <v>9053.11</v>
      </c>
      <c r="I19" s="152" t="e">
        <f t="shared" si="1"/>
        <v>#VALUE!</v>
      </c>
      <c r="J19" s="142" t="str" cm="1">
        <f t="array" ref="J19">IF(ISTEXT($E19),_xll.BDH($E19,"PX_LAST",J$2,J$2,"Fill=P","CDR=US"),"")</f>
        <v>#N/A Requesting Data...</v>
      </c>
      <c r="K19" s="152">
        <f t="shared" si="0"/>
        <v>-7.3396580012097812E-2</v>
      </c>
      <c r="L19" s="142" cm="1">
        <f t="array" ref="L19">IF(ISNUMBER(_xlfn.SINGLE(_xll.BDP($E19,L$2))),  _xll.BDP($E19,L$2), "nmf")</f>
        <v>9770.2099999999991</v>
      </c>
      <c r="M19" t="str" cm="1">
        <f t="array" ref="M19">_xll.BDP(E19,M$2)</f>
        <v>02/10/2025</v>
      </c>
      <c r="N19" s="142" cm="1">
        <f t="array" ref="N19">IF(ISNUMBER(_xlfn.SINGLE(_xll.BDP($E19,N$2))),  _xll.BDP($E19,N$2), "nmf")</f>
        <v>7100.61</v>
      </c>
      <c r="O19" t="str" cm="1">
        <f t="array" ref="O19">_xll.BDP(E19,O$2)</f>
        <v>09/04/2025</v>
      </c>
      <c r="P19" s="143" cm="1">
        <f t="array" ref="P19">_xll.BDP($E19,P$2)</f>
        <v>11.678764941066573</v>
      </c>
      <c r="Q19" s="152" t="e">
        <f>P19/T19-1</f>
        <v>#VALUE!</v>
      </c>
      <c r="R19" s="152" t="e">
        <f>$P19/U19-1</f>
        <v>#VALUE!</v>
      </c>
      <c r="S19" s="143" cm="1">
        <f t="array" ref="S19">_xll.BDP($E19,S$2)</f>
        <v>11.011319464991864</v>
      </c>
      <c r="T19" s="149" t="e">
        <f>MEDIAN(_xll.BDH($E19," best pe ratio","-7ay",""," be997=1gy","array=true"," dts=h"  ))</f>
        <v>#VALUE!</v>
      </c>
      <c r="U19" s="150" t="e">
        <f>T19+W19</f>
        <v>#VALUE!</v>
      </c>
      <c r="V19" s="150" t="e">
        <f>T19-W19</f>
        <v>#VALUE!</v>
      </c>
      <c r="W19" s="149" t="e">
        <f>STDEV(_xll.BDH($E19," best pe ratio","-7ay",""," be997=1gy","array=true"," dts=h"  ))</f>
        <v>#VALUE!</v>
      </c>
    </row>
    <row r="20" spans="1:23">
      <c r="E20" t="s">
        <v>61</v>
      </c>
      <c r="F20" t="str" cm="1">
        <f t="array" ref="F20">_xll.BDP($E20,F$2)</f>
        <v>SHANGHAI SE COMPOSITE</v>
      </c>
      <c r="G20" t="s">
        <v>43</v>
      </c>
      <c r="H20" s="141" cm="1">
        <f t="array" ref="H20">IF(ISNUMBER(_xlfn.SINGLE(_xll.BDP($E20,H$2))),  _xll.BDP($E20,H$2), "nmf")</f>
        <v>4067.7379999999998</v>
      </c>
      <c r="I20" s="152" t="e">
        <f t="shared" si="1"/>
        <v>#VALUE!</v>
      </c>
      <c r="J20" s="142" t="str" cm="1">
        <f t="array" ref="J20">IF(ISTEXT($E20),_xll.BDH($E20,"PX_LAST",J$2,J$2,"Fill=P","CDR=US"),"")</f>
        <v>#N/A Requesting Data...</v>
      </c>
      <c r="K20" s="152">
        <f t="shared" si="0"/>
        <v>-2.9380085166168524E-2</v>
      </c>
      <c r="L20" s="142" cm="1">
        <f t="array" ref="L20">IF(ISNUMBER(_xlfn.SINGLE(_xll.BDP($E20,L$2))),  _xll.BDP($E20,L$2), "nmf")</f>
        <v>4190.866</v>
      </c>
      <c r="M20" t="str" cm="1">
        <f t="array" ref="M20">_xll.BDP(E20,M$2)</f>
        <v>14/01/2026</v>
      </c>
      <c r="N20" s="142" cm="1">
        <f t="array" ref="N20">IF(ISNUMBER(_xlfn.SINGLE(_xll.BDP($E20,N$2))),  _xll.BDP($E20,N$2), "nmf")</f>
        <v>3040.6930000000002</v>
      </c>
      <c r="O20" t="str" cm="1">
        <f t="array" ref="O20">_xll.BDP(E20,O$2)</f>
        <v>07/04/2025</v>
      </c>
      <c r="P20" s="143" cm="1">
        <f t="array" ref="P20">_xll.BDP($E20,P$2)</f>
        <v>15.585533271632654</v>
      </c>
      <c r="Q20" s="152" t="e">
        <f>P20/T20-1</f>
        <v>#VALUE!</v>
      </c>
      <c r="R20" s="152" t="e">
        <f>$P20/U20-1</f>
        <v>#VALUE!</v>
      </c>
      <c r="S20" s="143" cm="1">
        <f t="array" ref="S20">_xll.BDP($E20,S$2)</f>
        <v>9.6319073647911626</v>
      </c>
      <c r="T20" s="149" t="e">
        <f>MEDIAN(_xll.BDH($E20," best pe ratio","-7ay",""," be997=1gy","array=true"," dts=h"  ))</f>
        <v>#VALUE!</v>
      </c>
      <c r="U20" s="150" t="e">
        <f>T20+W20</f>
        <v>#VALUE!</v>
      </c>
      <c r="V20" s="150" t="e">
        <f>T20-W20</f>
        <v>#VALUE!</v>
      </c>
      <c r="W20" s="149" t="e">
        <f>STDEV(_xll.BDH($E20," best pe ratio","-7ay",""," be997=1gy","array=true"," dts=h"  ))</f>
        <v>#VALUE!</v>
      </c>
    </row>
  </sheetData>
  <conditionalFormatting sqref="I6:I20">
    <cfRule type="colorScale" priority="52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20">
    <cfRule type="colorScale" priority="5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9DB92-69E0-4836-BCFD-FB8DEA5A601B}">
  <sheetPr codeName="Sheet16"/>
  <dimension ref="A1:AU55"/>
  <sheetViews>
    <sheetView zoomScaleNormal="100" workbookViewId="0">
      <pane xSplit="6" ySplit="7" topLeftCell="G20" activePane="bottomRight" state="frozen"/>
      <selection pane="topRight" activeCell="E1" sqref="E1"/>
      <selection pane="bottomLeft" activeCell="A8" sqref="A8"/>
      <selection pane="bottomRight" activeCell="O30" sqref="O30"/>
    </sheetView>
  </sheetViews>
  <sheetFormatPr defaultRowHeight="15" outlineLevelRow="1" outlineLevelCol="1"/>
  <cols>
    <col min="1" max="1" width="11" customWidth="1" outlineLevel="1"/>
    <col min="2" max="6" width="7" style="21" customWidth="1"/>
    <col min="7" max="7" width="7.7109375" customWidth="1"/>
    <col min="8" max="12" width="7.28515625" customWidth="1"/>
    <col min="13" max="13" width="2.5703125" customWidth="1"/>
    <col min="14" max="14" width="9.42578125" customWidth="1"/>
    <col min="15" max="15" width="8.28515625" customWidth="1"/>
    <col min="16" max="17" width="9.42578125" customWidth="1"/>
    <col min="18" max="18" width="2.5703125" customWidth="1"/>
    <col min="19" max="20" width="7" customWidth="1"/>
    <col min="21" max="22" width="7.28515625" customWidth="1"/>
    <col min="23" max="23" width="2.5703125" customWidth="1"/>
    <col min="24" max="24" width="7.85546875" customWidth="1"/>
    <col min="25" max="25" width="7.28515625" hidden="1" customWidth="1" outlineLevel="1"/>
    <col min="26" max="26" width="7" style="128" hidden="1" customWidth="1" outlineLevel="1"/>
    <col min="27" max="27" width="7.28515625" hidden="1" customWidth="1" outlineLevel="1"/>
    <col min="28" max="28" width="7" style="128" hidden="1" customWidth="1" outlineLevel="1"/>
    <col min="29" max="29" width="9.140625" collapsed="1"/>
    <col min="30" max="30" width="7" customWidth="1"/>
    <col min="31" max="31" width="2.5703125" customWidth="1"/>
    <col min="32" max="33" width="8.28515625" customWidth="1"/>
    <col min="38" max="38" width="2.28515625" customWidth="1"/>
    <col min="39" max="40" width="7.5703125" customWidth="1"/>
    <col min="41" max="42" width="7.140625" customWidth="1"/>
    <col min="43" max="43" width="2.28515625" customWidth="1"/>
    <col min="44" max="47" width="7.140625" customWidth="1"/>
  </cols>
  <sheetData>
    <row r="1" spans="1:47">
      <c r="D1" s="7" t="s">
        <v>67</v>
      </c>
      <c r="E1" s="259">
        <f>D4-E4</f>
        <v>7.9754935760997826E-3</v>
      </c>
      <c r="AP1" s="22"/>
    </row>
    <row r="2" spans="1:47" outlineLevel="1">
      <c r="D2" s="7" t="s">
        <v>66</v>
      </c>
      <c r="E2" s="259">
        <f>D4+E4</f>
        <v>8.59751360534056E-3</v>
      </c>
      <c r="Q2" s="174">
        <f ca="1">WORKDAY(Q3,-126)</f>
        <v>45880</v>
      </c>
      <c r="X2" s="174"/>
    </row>
    <row r="3" spans="1:47" s="7" customFormat="1" outlineLevel="1">
      <c r="A3"/>
      <c r="B3" s="21"/>
      <c r="C3" s="21"/>
      <c r="F3" s="21"/>
      <c r="G3"/>
      <c r="H3"/>
      <c r="I3"/>
      <c r="J3"/>
      <c r="K3"/>
      <c r="L3"/>
      <c r="M3"/>
      <c r="N3"/>
      <c r="O3"/>
      <c r="P3"/>
      <c r="Q3" s="174">
        <f ca="1">TODAY()</f>
        <v>46056</v>
      </c>
      <c r="R3"/>
      <c r="S3"/>
      <c r="T3"/>
      <c r="U3"/>
      <c r="V3"/>
      <c r="W3"/>
      <c r="X3" s="174"/>
      <c r="Y3"/>
      <c r="Z3" s="128"/>
      <c r="AA3"/>
      <c r="AB3" s="128"/>
      <c r="AC3"/>
      <c r="AD3"/>
      <c r="AE3"/>
      <c r="AF3"/>
      <c r="AG3"/>
      <c r="AM3" s="175">
        <f ca="1">WORKDAY($Q$3,-22)</f>
        <v>46024</v>
      </c>
      <c r="AN3" s="175">
        <f ca="1">WORKDAY($Q$3,-66)</f>
        <v>45964</v>
      </c>
      <c r="AO3" s="175"/>
      <c r="AR3" s="175"/>
      <c r="AS3" s="175"/>
      <c r="AT3" s="175"/>
    </row>
    <row r="4" spans="1:47" outlineLevel="1">
      <c r="C4" s="7" t="s">
        <v>70</v>
      </c>
      <c r="D4" s="259">
        <f>SUM(D8:D21)</f>
        <v>8.2865035907201713E-3</v>
      </c>
      <c r="E4" s="259">
        <f>SUM(E8:E24)</f>
        <v>3.1101001462038804E-4</v>
      </c>
      <c r="Q4" s="176" t="str">
        <f ca="1">YEAR($Q$2)&amp;TEXT(MONTH($Q$2),"00")&amp;TEXT(DAY($Q$2),"00")</f>
        <v>20250811</v>
      </c>
      <c r="X4" s="177"/>
    </row>
    <row r="5" spans="1:47" outlineLevel="1">
      <c r="C5" s="7" t="s">
        <v>91</v>
      </c>
      <c r="D5" s="259">
        <f>SUM(D22:D23)</f>
        <v>0</v>
      </c>
      <c r="Q5" s="176" t="str">
        <f ca="1">YEAR(TODAY())&amp;TEXT(MONTH(TODAY()),"00")&amp;TEXT(DAY(TODAY()),"00")</f>
        <v>20260203</v>
      </c>
      <c r="X5" s="177"/>
    </row>
    <row r="6" spans="1:47">
      <c r="AD6" s="178" t="s">
        <v>98</v>
      </c>
      <c r="AM6" t="s">
        <v>99</v>
      </c>
      <c r="AR6" t="s">
        <v>100</v>
      </c>
    </row>
    <row r="7" spans="1:47" s="180" customFormat="1" ht="45.75" thickBot="1">
      <c r="A7" s="11"/>
      <c r="B7" s="11"/>
      <c r="C7" s="11"/>
      <c r="D7" s="11" t="s">
        <v>101</v>
      </c>
      <c r="E7" s="11" t="s">
        <v>102</v>
      </c>
      <c r="F7" s="11"/>
      <c r="G7" s="11" t="s">
        <v>99</v>
      </c>
      <c r="H7" s="11" t="s">
        <v>103</v>
      </c>
      <c r="I7" s="11" t="s">
        <v>100</v>
      </c>
      <c r="J7" s="11" t="s">
        <v>103</v>
      </c>
      <c r="K7" s="11" t="s">
        <v>104</v>
      </c>
      <c r="L7" s="11" t="s">
        <v>103</v>
      </c>
      <c r="M7" s="11"/>
      <c r="N7" s="11" t="s">
        <v>105</v>
      </c>
      <c r="O7" s="11" t="s">
        <v>106</v>
      </c>
      <c r="P7" s="11" t="s">
        <v>107</v>
      </c>
      <c r="Q7" s="11" t="s">
        <v>108</v>
      </c>
      <c r="R7" s="11"/>
      <c r="S7" s="11" t="s">
        <v>109</v>
      </c>
      <c r="T7" s="11" t="s">
        <v>110</v>
      </c>
      <c r="U7" s="11" t="s">
        <v>111</v>
      </c>
      <c r="V7" s="11" t="s">
        <v>112</v>
      </c>
      <c r="W7" s="11"/>
      <c r="X7" s="11" t="s">
        <v>113</v>
      </c>
      <c r="Y7" s="11" t="s">
        <v>114</v>
      </c>
      <c r="Z7" s="179" t="s">
        <v>103</v>
      </c>
      <c r="AA7" s="11" t="s">
        <v>115</v>
      </c>
      <c r="AB7" s="179" t="s">
        <v>103</v>
      </c>
      <c r="AC7" s="11" t="s">
        <v>116</v>
      </c>
      <c r="AD7" s="11" t="s">
        <v>103</v>
      </c>
      <c r="AE7" s="11"/>
      <c r="AF7" s="11" t="s">
        <v>117</v>
      </c>
      <c r="AG7" s="11" t="s">
        <v>118</v>
      </c>
      <c r="AH7" s="11" t="s">
        <v>119</v>
      </c>
      <c r="AI7" s="11" t="s">
        <v>120</v>
      </c>
      <c r="AJ7" s="11" t="s">
        <v>121</v>
      </c>
      <c r="AK7" s="11" t="s">
        <v>122</v>
      </c>
      <c r="AM7" s="11" t="s">
        <v>123</v>
      </c>
      <c r="AN7" s="11" t="s">
        <v>124</v>
      </c>
      <c r="AO7" s="11" t="s">
        <v>125</v>
      </c>
      <c r="AP7" s="11" t="s">
        <v>126</v>
      </c>
      <c r="AR7" s="11" t="s">
        <v>123</v>
      </c>
      <c r="AS7" s="11" t="s">
        <v>124</v>
      </c>
      <c r="AT7" s="11" t="s">
        <v>125</v>
      </c>
      <c r="AU7" s="11" t="s">
        <v>127</v>
      </c>
    </row>
    <row r="8" spans="1:47">
      <c r="A8" t="str">
        <f t="shared" ref="A8:A17" si="0">"."&amp;B8&amp;C8</f>
        <v>.MSFTIGV</v>
      </c>
      <c r="B8" s="248" t="s">
        <v>90</v>
      </c>
      <c r="C8" s="248" t="s">
        <v>89</v>
      </c>
      <c r="D8" s="249">
        <f>-E8</f>
        <v>7.1272246993587174E-4</v>
      </c>
      <c r="E8" s="249">
        <f>SUMIF(Tabelad[Ticker],PAIR_Monitor!C8,Tabelad[Exp %])</f>
        <v>-7.1272246993587174E-4</v>
      </c>
      <c r="F8" s="248"/>
      <c r="G8" s="182" cm="1">
        <f t="array" ref="G8">_xll.BDP(B8&amp;" Equity","LAST PRICE")</f>
        <v>411.21</v>
      </c>
      <c r="H8" s="183" cm="1">
        <f t="array" ref="H8">G8/_xll.BDP(B8&amp;" Equity", "PREV_CLOSE_VAL")-1</f>
        <v>-2.8721921723315336E-2</v>
      </c>
      <c r="I8" s="182" cm="1">
        <f t="array" ref="I8">_xll.BDP(C8&amp;" Equity","LAST PRICE")</f>
        <v>85.39</v>
      </c>
      <c r="J8" s="183" cm="1">
        <f t="array" ref="J8">I8/_xll.BDP(C8&amp;" Equity", "PREV_CLOSE_VAL")-1</f>
        <v>-4.6134941912421734E-2</v>
      </c>
      <c r="K8" s="184">
        <f t="shared" ref="K8:K18" si="1">G8/I8</f>
        <v>4.8156692821173435</v>
      </c>
      <c r="L8" s="183" cm="1">
        <f t="array" ref="L8">K8/(_xll.BDP(B8&amp;" Equity", "PREV_CLOSE_VAL")/_xll.BDP(C8&amp;" Equity", "PREV_CLOSE_VAL"))-1</f>
        <v>1.8255223882524874E-2</v>
      </c>
      <c r="M8" s="183"/>
      <c r="N8" s="185">
        <f t="shared" ref="N8:N18" si="2">ABS(L8/O8)</f>
        <v>1.147458366087742</v>
      </c>
      <c r="O8" s="186">
        <f t="shared" ref="O8:O18" si="3">P8/15.87/100</f>
        <v>1.5909269061121615E-2</v>
      </c>
      <c r="P8" s="187" cm="1">
        <f t="array" ref="P8">_xll.BDP($A8&amp;" Index","VOLATILITY_30D")</f>
        <v>25.248010000000001</v>
      </c>
      <c r="Q8" s="187" cm="1">
        <f t="array" aca="1" ref="Q8" ca="1">(_xll.BDP(($B8&amp; " Equity"),"CORR_COEF", "BETA_OVERRIDE_REL_INDEX",($C8&amp; " Equity"),"BETA_OVERRIDE_END_DT",$Q$5,"BETA_OVERRIDE_START_DT",$Q$4))*100</f>
        <v>77.442398009531956</v>
      </c>
      <c r="R8" s="183"/>
      <c r="S8" s="183" cm="1">
        <f t="array" ref="S8">_xll.BDP($A8&amp;" Index","CHG_PCT_2D")/100</f>
        <v>1.1837540000000001E-2</v>
      </c>
      <c r="T8" s="183" cm="1">
        <f t="array" ref="T8">_xll.BDP($A8&amp;" Index","CHG_PCT_5D")/100</f>
        <v>-1.9310130000000002E-2</v>
      </c>
      <c r="U8" s="183" cm="1">
        <f t="array" ref="U8">K8/_xll.BDP($A8&amp;" Index","HIGH_52WEEK")-1</f>
        <v>-2.9527430002207922E-2</v>
      </c>
      <c r="V8" s="183" cm="1">
        <f t="array" ref="V8">K8/_xll.BDP($A8&amp;" Index","LOW_52WEEK")-1</f>
        <v>0.26763499347642861</v>
      </c>
      <c r="W8" s="183"/>
      <c r="X8" s="187" cm="1">
        <f t="array" ref="X8">_xll.BDP($A8&amp;" Index","RSI_14D")</f>
        <v>53.718989999999998</v>
      </c>
      <c r="Y8" s="188"/>
      <c r="Z8" s="189">
        <f t="shared" ref="Z8:Z18" si="4">Y8/K8-1</f>
        <v>-1</v>
      </c>
      <c r="AA8" s="188"/>
      <c r="AB8" s="189">
        <f t="shared" ref="AB8:AB18" si="5">AA8/K8-1</f>
        <v>-1</v>
      </c>
      <c r="AC8" s="188">
        <v>4.37</v>
      </c>
      <c r="AD8" s="183">
        <f t="shared" ref="AD8:AD18" si="6">K8/AC8-1</f>
        <v>0.10198381741815643</v>
      </c>
      <c r="AE8" s="183"/>
      <c r="AF8" s="190">
        <f>IF(ISTEXT(B8),_xll.BDP(B8 &amp; " Equity","EXPECTED_REPORT_DT")*1,"")</f>
        <v>46142</v>
      </c>
      <c r="AG8" s="190" t="e">
        <f>IF(ISTEXT(C8),_xll.BDP(C8 &amp; " Equity","EXPECTED_REPORT_DT")*1,"")</f>
        <v>#VALUE!</v>
      </c>
      <c r="AH8" s="191" cm="1">
        <f t="array" ref="AH8">(_xll.BDP(B8&amp;" Equity","SHORT_INT")/_xll.BDP(B8&amp;" Equity","VOLUME_AVG_90D"))</f>
        <v>2.1825328884759405</v>
      </c>
      <c r="AI8" s="191" t="e" cm="1">
        <f t="array" ref="AI8">(_xll.BDP(C8&amp;" Equity","SHORT_INT")/_xll.BDP(C8&amp;" Equity","VOLUME_AVG_90D"))</f>
        <v>#VALUE!</v>
      </c>
      <c r="AJ8" s="191" cm="1">
        <f t="array" ref="AJ8">(_xll.BDP(B8&amp;" Equity","SHORT_INT"))/((_xll.BDP(B8&amp;" Equity","EQY_FREE_FLOAT_PCT"))*(_xll.BDP(B8&amp;" Equity","EQY_SH_OUT_TOT_MULT_SH")))/100</f>
        <v>0.73625307037913335</v>
      </c>
      <c r="AK8" s="191" t="e" cm="1">
        <f t="array" ref="AK8">(_xll.BDP(C8&amp;" Equity","SHORT_INT"))/((_xll.BDP(C8&amp;" Equity","EQY_FREE_FLOAT_PCT"))*(_xll.BDP(C8&amp;" Equity","EQY_SH_OUT_TOT_MULT_SH")))/100</f>
        <v>#VALUE!</v>
      </c>
      <c r="AM8" s="189">
        <f ca="1">IF(ISTEXT(B8),AP8/_xll.BDH(B8 &amp;  " Equity","BEST_EPS",$AM$3,$AM$3,"BEST_FPERIOD_OVERRIDE=1BF","CDR=US","Fill=p")-1,"")</f>
        <v>3.8512387193194275E-2</v>
      </c>
      <c r="AN8" s="189">
        <f ca="1">IF(ISTEXT(B8),AP8/_xll.BDH(B8 &amp;  " Equity","BEST_EPS",$AN$3,$AN$3,"BEST_FPERIOD_OVERRIDE=1BF","CDR=US","Fill=p")-1,"")</f>
        <v>6.65289256198347E-2</v>
      </c>
      <c r="AO8" s="191">
        <f t="shared" ref="AO8:AO18" ca="1" si="7">G8/AP8</f>
        <v>22.760281175624065</v>
      </c>
      <c r="AP8" s="191" cm="1">
        <f t="array" aca="1" ref="AP8" ca="1">IF(ISTEXT(B8),_xll.BDH(B8 &amp;  " Equity","BEST_EPS",$Q$3,$Q$3,"BEST_FPERIOD_OVERRIDE=1BF","CDR=US","Fill=p"),"")</f>
        <v>18.067</v>
      </c>
      <c r="AR8" s="189" t="e">
        <f ca="1">IF(ISTEXT(C8),AU8/_xll.BDH(C8 &amp;  " Equity","BEST_EPS",$AM$3,$AM$3,"BEST_FPERIOD_OVERRIDE=1BF","CDR=US","Fill=p")-1,"")</f>
        <v>#VALUE!</v>
      </c>
      <c r="AS8" s="189" t="e">
        <f ca="1">IF(ISTEXT(C8),AU8/_xll.BDH(C8 &amp;  " Equity","BEST_EPS",$AN$3,$AN$3,"BEST_FPERIOD_OVERRIDE=1BF","CDR=US","Fill=p")-1,"")</f>
        <v>#VALUE!</v>
      </c>
      <c r="AT8" s="191" t="e">
        <f t="shared" ref="AT8:AT18" ca="1" si="8">I8/AU8</f>
        <v>#VALUE!</v>
      </c>
      <c r="AU8" s="191" t="str" cm="1">
        <f t="array" aca="1" ref="AU8" ca="1">IF(ISTEXT(C8),_xll.BDH(C8 &amp;  " Equity","BEST_EPS",$Q$3,$Q$3,"BEST_FPERIOD_OVERRIDE=1BF","CDR=US","Fill=p"),"")</f>
        <v>#N/A N/A</v>
      </c>
    </row>
    <row r="9" spans="1:47">
      <c r="A9" t="str">
        <f t="shared" si="0"/>
        <v>.MSFTXLP</v>
      </c>
      <c r="B9" s="248" t="s">
        <v>90</v>
      </c>
      <c r="C9" s="248" t="s">
        <v>4</v>
      </c>
      <c r="D9" s="249">
        <f>-E9</f>
        <v>9.855022008246376E-4</v>
      </c>
      <c r="E9" s="249">
        <f>SUMIF(Tabelad[Ticker],PAIR_Monitor!C9,Tabelad[Exp %])</f>
        <v>-9.855022008246376E-4</v>
      </c>
      <c r="F9" s="248"/>
      <c r="G9" s="182" cm="1">
        <f t="array" ref="G9">_xll.BDP(B9&amp;" Equity","LAST PRICE")</f>
        <v>411.21</v>
      </c>
      <c r="H9" s="183" cm="1">
        <f t="array" ref="H9">G9/_xll.BDP(B9&amp;" Equity", "PREV_CLOSE_VAL")-1</f>
        <v>-2.8721921723315336E-2</v>
      </c>
      <c r="I9" s="182" cm="1">
        <f t="array" ref="I9">_xll.BDP(C9&amp;" Equity","LAST PRICE")</f>
        <v>85.87</v>
      </c>
      <c r="J9" s="183" cm="1">
        <f t="array" ref="J9">I9/_xll.BDP(C9&amp;" Equity", "PREV_CLOSE_VAL")-1</f>
        <v>1.621301775147943E-2</v>
      </c>
      <c r="K9" s="184">
        <f t="shared" si="1"/>
        <v>4.7887504367066489</v>
      </c>
      <c r="L9" s="183" cm="1">
        <f t="array" ref="L9">K9/(_xll.BDP(B9&amp;" Equity", "PREV_CLOSE_VAL")/_xll.BDP(C9&amp;" Equity", "PREV_CLOSE_VAL"))-1</f>
        <v>-4.4218031741238617E-2</v>
      </c>
      <c r="M9" s="183"/>
      <c r="N9" s="185">
        <f t="shared" si="2"/>
        <v>1.6658377844924219</v>
      </c>
      <c r="O9" s="186">
        <f t="shared" si="3"/>
        <v>2.6544020163831127E-2</v>
      </c>
      <c r="P9" s="187" cm="1">
        <f t="array" ref="P9">_xll.BDP($A9&amp;" Index","VOLATILITY_30D")</f>
        <v>42.125360000000001</v>
      </c>
      <c r="Q9" s="187" cm="1">
        <f t="array" aca="1" ref="Q9" ca="1">(_xll.BDP(($B9&amp; " Equity"),"CORR_COEF", "BETA_OVERRIDE_REL_INDEX",($C9&amp; " Equity"),"BETA_OVERRIDE_END_DT",$Q$5,"BETA_OVERRIDE_START_DT",$Q$4))*100</f>
        <v>-10.555177775094881</v>
      </c>
      <c r="R9" s="183"/>
      <c r="S9" s="183" cm="1">
        <f t="array" ref="S9">_xll.BDP($A9&amp;" Index","CHG_PCT_2D")/100</f>
        <v>-7.0156819999999995E-2</v>
      </c>
      <c r="T9" s="183" cm="1">
        <f t="array" ref="T9">_xll.BDP($A9&amp;" Index","CHG_PCT_5D")/100</f>
        <v>-0.17094889999999999</v>
      </c>
      <c r="U9" s="183" cm="1">
        <f t="array" ref="U9">K9/_xll.BDP($A9&amp;" Index","HIGH_52WEEK")-1</f>
        <v>-0.32282800339004558</v>
      </c>
      <c r="V9" s="183" cm="1">
        <f t="array" ref="V9">K9/_xll.BDP($A9&amp;" Index","LOW_52WEEK")-1</f>
        <v>8.1309117590117275E-2</v>
      </c>
      <c r="W9" s="183"/>
      <c r="X9" s="187" cm="1">
        <f t="array" ref="X9">_xll.BDP($A9&amp;" Index","RSI_14D")</f>
        <v>27.9771</v>
      </c>
      <c r="Y9" s="188"/>
      <c r="Z9" s="189">
        <f t="shared" si="4"/>
        <v>-1</v>
      </c>
      <c r="AA9" s="188"/>
      <c r="AB9" s="189">
        <f t="shared" si="5"/>
        <v>-1</v>
      </c>
      <c r="AC9" s="188">
        <v>5.54</v>
      </c>
      <c r="AD9" s="183">
        <f t="shared" si="6"/>
        <v>-0.13560461431287929</v>
      </c>
      <c r="AE9" s="183"/>
      <c r="AF9" s="190">
        <f>IF(ISTEXT(B9),_xll.BDP(B9 &amp; " Equity","EXPECTED_REPORT_DT")*1,"")</f>
        <v>46142</v>
      </c>
      <c r="AG9" s="190" t="e">
        <f>IF(ISTEXT(C9),_xll.BDP(C9 &amp; " Equity","EXPECTED_REPORT_DT")*1,"")</f>
        <v>#VALUE!</v>
      </c>
      <c r="AH9" s="191" cm="1">
        <f t="array" ref="AH9">(_xll.BDP(B9&amp;" Equity","SHORT_INT")/_xll.BDP(B9&amp;" Equity","VOLUME_AVG_90D"))</f>
        <v>2.1825328884759405</v>
      </c>
      <c r="AI9" s="191" cm="1">
        <f t="array" ref="AI9">(_xll.BDP(C9&amp;" Equity","SHORT_INT")/_xll.BDP(C9&amp;" Equity","VOLUME_AVG_90D"))</f>
        <v>2.2927810086720095</v>
      </c>
      <c r="AJ9" s="191" cm="1">
        <f t="array" ref="AJ9">(_xll.BDP(B9&amp;" Equity","SHORT_INT"))/((_xll.BDP(B9&amp;" Equity","EQY_FREE_FLOAT_PCT"))*(_xll.BDP(B9&amp;" Equity","EQY_SH_OUT_TOT_MULT_SH")))/100</f>
        <v>0.73625307037913335</v>
      </c>
      <c r="AK9" s="191" t="e" cm="1">
        <f t="array" ref="AK9">(_xll.BDP(C9&amp;" Equity","SHORT_INT"))/((_xll.BDP(C9&amp;" Equity","EQY_FREE_FLOAT_PCT"))*(_xll.BDP(C9&amp;" Equity","EQY_SH_OUT_TOT_MULT_SH")))/100</f>
        <v>#VALUE!</v>
      </c>
      <c r="AM9" s="189">
        <f ca="1">IF(ISTEXT(B9),AP9/_xll.BDH(B9 &amp;  " Equity","BEST_EPS",$AM$3,$AM$3,"BEST_FPERIOD_OVERRIDE=1BF","CDR=US","Fill=p")-1,"")</f>
        <v>3.8512387193194275E-2</v>
      </c>
      <c r="AN9" s="189">
        <f ca="1">IF(ISTEXT(B9),AP9/_xll.BDH(B9 &amp;  " Equity","BEST_EPS",$AN$3,$AN$3,"BEST_FPERIOD_OVERRIDE=1BF","CDR=US","Fill=p")-1,"")</f>
        <v>6.65289256198347E-2</v>
      </c>
      <c r="AO9" s="191">
        <f t="shared" ca="1" si="7"/>
        <v>22.760281175624065</v>
      </c>
      <c r="AP9" s="191" cm="1">
        <f t="array" aca="1" ref="AP9" ca="1">IF(ISTEXT(B9),_xll.BDH(B9 &amp;  " Equity","BEST_EPS",$Q$3,$Q$3,"BEST_FPERIOD_OVERRIDE=1BF","CDR=US","Fill=p"),"")</f>
        <v>18.067</v>
      </c>
      <c r="AR9" s="189" t="e">
        <f ca="1">IF(ISTEXT(C9),AU9/_xll.BDH(C9 &amp;  " Equity","BEST_EPS",$AM$3,$AM$3,"BEST_FPERIOD_OVERRIDE=1BF","CDR=US","Fill=p")-1,"")</f>
        <v>#VALUE!</v>
      </c>
      <c r="AS9" s="189" t="e">
        <f ca="1">IF(ISTEXT(C9),AU9/_xll.BDH(C9 &amp;  " Equity","BEST_EPS",$AN$3,$AN$3,"BEST_FPERIOD_OVERRIDE=1BF","CDR=US","Fill=p")-1,"")</f>
        <v>#VALUE!</v>
      </c>
      <c r="AT9" s="191" t="e">
        <f t="shared" ca="1" si="8"/>
        <v>#VALUE!</v>
      </c>
      <c r="AU9" s="191" t="str" cm="1">
        <f t="array" aca="1" ref="AU9" ca="1">IF(ISTEXT(C9),_xll.BDH(C9 &amp;  " Equity","BEST_EPS",$Q$3,$Q$3,"BEST_FPERIOD_OVERRIDE=1BF","CDR=US","Fill=p"),"")</f>
        <v>#N/A N/A</v>
      </c>
    </row>
    <row r="10" spans="1:47">
      <c r="A10" t="str">
        <f t="shared" si="0"/>
        <v>.METASPY</v>
      </c>
      <c r="B10" s="248" t="s">
        <v>81</v>
      </c>
      <c r="C10" s="248" t="s">
        <v>0</v>
      </c>
      <c r="D10" s="249">
        <f>-E10</f>
        <v>0</v>
      </c>
      <c r="E10" s="249">
        <f>SUMIF(Tabelad[Ticker],PAIR_Monitor!C10,Tabelad[Exp %])</f>
        <v>0</v>
      </c>
      <c r="F10" s="248"/>
      <c r="G10" s="250" cm="1">
        <f t="array" ref="G10">_xll.BDP(B10&amp;" Equity","LAST PRICE")</f>
        <v>691.7</v>
      </c>
      <c r="H10" s="251" cm="1">
        <f t="array" ref="H10">G10/_xll.BDP(B10&amp;" Equity", "PREV_CLOSE_VAL")-1</f>
        <v>-2.082360102490044E-2</v>
      </c>
      <c r="I10" s="250" cm="1">
        <f t="array" ref="I10">_xll.BDP(C10&amp;" Equity","LAST PRICE")</f>
        <v>689.53</v>
      </c>
      <c r="J10" s="251" cm="1">
        <f t="array" ref="J10">I10/_xll.BDP(C10&amp;" Equity", "PREV_CLOSE_VAL")-1</f>
        <v>-8.4554435512862458E-3</v>
      </c>
      <c r="K10" s="252">
        <f t="shared" si="1"/>
        <v>1.0031470711934216</v>
      </c>
      <c r="L10" s="251" cm="1">
        <f t="array" ref="L10">K10/(_xll.BDP(B10&amp;" Equity", "PREV_CLOSE_VAL")/_xll.BDP(C10&amp;" Equity", "PREV_CLOSE_VAL"))-1</f>
        <v>-1.2473627527048947E-2</v>
      </c>
      <c r="M10" s="251"/>
      <c r="N10" s="185">
        <f t="shared" si="2"/>
        <v>0.50859213567871586</v>
      </c>
      <c r="O10" s="186">
        <f t="shared" si="3"/>
        <v>2.4525797101449278E-2</v>
      </c>
      <c r="P10" s="253" cm="1">
        <f t="array" ref="P10">_xll.BDP($A10&amp;" Index","VOLATILITY_30D")</f>
        <v>38.922440000000002</v>
      </c>
      <c r="Q10" s="253" cm="1">
        <f t="array" aca="1" ref="Q10" ca="1">(_xll.BDP(($B10&amp; " Equity"),"CORR_COEF", "BETA_OVERRIDE_REL_INDEX",($C10&amp; " Equity"),"BETA_OVERRIDE_END_DT",$Q$5,"BETA_OVERRIDE_START_DT",$Q$4))*100</f>
        <v>38.929433119707227</v>
      </c>
      <c r="R10" s="251"/>
      <c r="S10" s="251" cm="1">
        <f t="array" ref="S10">_xll.BDP($A10&amp;" Index","CHG_PCT_2D")/100</f>
        <v>-3.217925E-2</v>
      </c>
      <c r="T10" s="251" cm="1">
        <f t="array" ref="T10">_xll.BDP($A10&amp;" Index","CHG_PCT_5D")/100</f>
        <v>3.5664830000000002E-2</v>
      </c>
      <c r="U10" s="251" cm="1">
        <f t="array" ref="U10">K10/_xll.BDP($A10&amp;" Index","HIGH_52WEEK")-1</f>
        <v>-0.18446642722375384</v>
      </c>
      <c r="V10" s="251" cm="1">
        <f t="array" ref="V10">K10/_xll.BDP($A10&amp;" Index","LOW_52WEEK")-1</f>
        <v>0.12603081391608373</v>
      </c>
      <c r="W10" s="251"/>
      <c r="X10" s="253" cm="1">
        <f t="array" ref="X10">_xll.BDP($A10&amp;" Index","RSI_14D")</f>
        <v>61.841749999999998</v>
      </c>
      <c r="Y10" s="252"/>
      <c r="Z10" s="254">
        <f t="shared" si="4"/>
        <v>-1</v>
      </c>
      <c r="AA10" s="252"/>
      <c r="AB10" s="254">
        <f t="shared" si="5"/>
        <v>-1</v>
      </c>
      <c r="AC10" s="188">
        <v>1.1000000000000001</v>
      </c>
      <c r="AD10" s="251">
        <f t="shared" si="6"/>
        <v>-8.8048117096889533E-2</v>
      </c>
      <c r="AE10" s="251"/>
      <c r="AF10" s="255">
        <f>IF(ISTEXT(B10),_xll.BDP(B10 &amp; " Equity","EXPECTED_REPORT_DT")*1,"")</f>
        <v>46142</v>
      </c>
      <c r="AG10" s="255" t="e">
        <f>IF(ISTEXT(C10),_xll.BDP(C10 &amp; " Equity","EXPECTED_REPORT_DT")*1,"")</f>
        <v>#VALUE!</v>
      </c>
      <c r="AH10" s="256" cm="1">
        <f t="array" ref="AH10">(_xll.BDP(B10&amp;" Equity","SHORT_INT")/_xll.BDP(B10&amp;" Equity","VOLUME_AVG_90D"))</f>
        <v>1.835076864569823</v>
      </c>
      <c r="AI10" s="256" cm="1">
        <f t="array" ref="AI10">(_xll.BDP(C10&amp;" Equity","SHORT_INT")/_xll.BDP(C10&amp;" Equity","VOLUME_AVG_90D"))</f>
        <v>1.3531936707607752</v>
      </c>
      <c r="AJ10" s="256" cm="1">
        <f t="array" ref="AJ10">(_xll.BDP(B10&amp;" Equity","SHORT_INT"))/((_xll.BDP(B10&amp;" Equity","EQY_FREE_FLOAT_PCT"))*(_xll.BDP(B10&amp;" Equity","EQY_SH_OUT_TOT_MULT_SH")))/100</f>
        <v>1.2886696817530352</v>
      </c>
      <c r="AK10" s="256" t="e" cm="1">
        <f t="array" ref="AK10">(_xll.BDP(C10&amp;" Equity","SHORT_INT"))/((_xll.BDP(C10&amp;" Equity","EQY_FREE_FLOAT_PCT"))*(_xll.BDP(C10&amp;" Equity","EQY_SH_OUT_TOT_MULT_SH")))/100</f>
        <v>#VALUE!</v>
      </c>
      <c r="AM10" s="254">
        <f ca="1">IF(ISTEXT(B10),AP10/_xll.BDH(B10 &amp;  " Equity","BEST_EPS",$AM$3,$AM$3,"BEST_FPERIOD_OVERRIDE=1BF","CDR=US","Fill=p")-1,"")</f>
        <v>-8.561592575961674E-3</v>
      </c>
      <c r="AN10" s="254">
        <f ca="1">IF(ISTEXT(B10),AP10/_xll.BDH(B10 &amp;  " Equity","BEST_EPS",$AN$3,$AN$3,"BEST_FPERIOD_OVERRIDE=1BF","CDR=US","Fill=p")-1,"")</f>
        <v>5.2815298224313523E-3</v>
      </c>
      <c r="AO10" s="256">
        <f t="shared" ca="1" si="7"/>
        <v>20.885292430327006</v>
      </c>
      <c r="AP10" s="256" cm="1">
        <f t="array" aca="1" ref="AP10" ca="1">IF(ISTEXT(B10),_xll.BDH(B10 &amp;  " Equity","BEST_EPS",$Q$3,$Q$3,"BEST_FPERIOD_OVERRIDE=1BF","CDR=US","Fill=p"),"")</f>
        <v>33.119</v>
      </c>
      <c r="AR10" s="254" t="e">
        <f ca="1">IF(ISTEXT(C10),AU10/_xll.BDH(C10 &amp;  " Equity","BEST_EPS",$AM$3,$AM$3,"BEST_FPERIOD_OVERRIDE=1BF","CDR=US","Fill=p")-1,"")</f>
        <v>#VALUE!</v>
      </c>
      <c r="AS10" s="254" t="e">
        <f ca="1">IF(ISTEXT(C10),AU10/_xll.BDH(C10 &amp;  " Equity","BEST_EPS",$AN$3,$AN$3,"BEST_FPERIOD_OVERRIDE=1BF","CDR=US","Fill=p")-1,"")</f>
        <v>#VALUE!</v>
      </c>
      <c r="AT10" s="256" t="e">
        <f t="shared" ca="1" si="8"/>
        <v>#VALUE!</v>
      </c>
      <c r="AU10" s="256" t="str" cm="1">
        <f t="array" aca="1" ref="AU10" ca="1">IF(ISTEXT(C10),_xll.BDH(C10 &amp;  " Equity","BEST_EPS",$Q$3,$Q$3,"BEST_FPERIOD_OVERRIDE=1BF","CDR=US","Fill=p"),"")</f>
        <v>#N/A N/A</v>
      </c>
    </row>
    <row r="11" spans="1:47">
      <c r="A11" t="str">
        <f t="shared" si="0"/>
        <v>.METAAAPL</v>
      </c>
      <c r="B11" s="248" t="s">
        <v>81</v>
      </c>
      <c r="C11" s="248" t="s">
        <v>79</v>
      </c>
      <c r="D11" s="249">
        <f>-E11</f>
        <v>-2.0092346853808974E-3</v>
      </c>
      <c r="E11" s="249">
        <f>SUMIF(Tabelad[Ticker],PAIR_Monitor!C11,Tabelad[Exp %])</f>
        <v>2.0092346853808974E-3</v>
      </c>
      <c r="F11" s="248"/>
      <c r="G11" s="250" cm="1">
        <f t="array" ref="G11">_xll.BDP(B11&amp;" Equity","LAST PRICE")</f>
        <v>691.7</v>
      </c>
      <c r="H11" s="251" cm="1">
        <f t="array" ref="H11">G11/_xll.BDP(B11&amp;" Equity", "PREV_CLOSE_VAL")-1</f>
        <v>-2.082360102490044E-2</v>
      </c>
      <c r="I11" s="250" cm="1">
        <f t="array" ref="I11">_xll.BDP(C11&amp;" Equity","LAST PRICE")</f>
        <v>269.48</v>
      </c>
      <c r="J11" s="251" cm="1">
        <f t="array" ref="J11">I11/_xll.BDP(C11&amp;" Equity", "PREV_CLOSE_VAL")-1</f>
        <v>-1.9628902633235246E-3</v>
      </c>
      <c r="K11" s="252">
        <f t="shared" si="1"/>
        <v>2.5667953094849341</v>
      </c>
      <c r="L11" s="251" cm="1">
        <f t="array" ref="L11">K11/(_xll.BDP(B11&amp;" Equity", "PREV_CLOSE_VAL")/_xll.BDP(C11&amp;" Equity", "PREV_CLOSE_VAL"))-1</f>
        <v>-1.8897805079165053E-2</v>
      </c>
      <c r="M11" s="251"/>
      <c r="N11" s="185">
        <f t="shared" si="2"/>
        <v>0.6999557880061078</v>
      </c>
      <c r="O11" s="186">
        <f t="shared" si="3"/>
        <v>2.6998569628229364E-2</v>
      </c>
      <c r="P11" s="253" cm="1">
        <f t="array" ref="P11">_xll.BDP($A11&amp;" Index","VOLATILITY_30D")</f>
        <v>42.846730000000001</v>
      </c>
      <c r="Q11" s="253" cm="1">
        <f t="array" aca="1" ref="Q11" ca="1">(_xll.BDP(($B11&amp; " Equity"),"CORR_COEF", "BETA_OVERRIDE_REL_INDEX",($C11&amp; " Equity"),"BETA_OVERRIDE_END_DT",$Q$5,"BETA_OVERRIDE_START_DT",$Q$4))*100</f>
        <v>13.214238598464329</v>
      </c>
      <c r="R11" s="251"/>
      <c r="S11" s="251" cm="1">
        <f t="array" ref="S11">_xll.BDP($A11&amp;" Index","CHG_PCT_2D")/100</f>
        <v>-7.0178019999999994E-2</v>
      </c>
      <c r="T11" s="251" cm="1">
        <f t="array" ref="T11">_xll.BDP($A11&amp;" Index","CHG_PCT_5D")/100</f>
        <v>-1.465028E-2</v>
      </c>
      <c r="U11" s="251" cm="1">
        <f t="array" ref="U11">K11/_xll.BDP($A11&amp;" Index","HIGH_52WEEK")-1</f>
        <v>-0.32769446305955263</v>
      </c>
      <c r="V11" s="251" cm="1">
        <f t="array" ref="V11">K11/_xll.BDP($A11&amp;" Index","LOW_52WEEK")-1</f>
        <v>0.17266843752880923</v>
      </c>
      <c r="W11" s="251"/>
      <c r="X11" s="253" cm="1">
        <f t="array" ref="X11">_xll.BDP($A11&amp;" Index","RSI_14D")</f>
        <v>54.913400000000003</v>
      </c>
      <c r="Y11" s="252"/>
      <c r="Z11" s="254">
        <f t="shared" si="4"/>
        <v>-1</v>
      </c>
      <c r="AA11" s="252"/>
      <c r="AB11" s="254">
        <f t="shared" si="5"/>
        <v>-1</v>
      </c>
      <c r="AC11" s="188">
        <v>3.04</v>
      </c>
      <c r="AD11" s="251">
        <f t="shared" si="6"/>
        <v>-0.15565943766942958</v>
      </c>
      <c r="AE11" s="251"/>
      <c r="AF11" s="255">
        <f>IF(ISTEXT(B11),_xll.BDP(B11 &amp; " Equity","EXPECTED_REPORT_DT")*1,"")</f>
        <v>46142</v>
      </c>
      <c r="AG11" s="255">
        <f>IF(ISTEXT(C11),_xll.BDP(C11 &amp; " Equity","EXPECTED_REPORT_DT")*1,"")</f>
        <v>46143</v>
      </c>
      <c r="AH11" s="256" cm="1">
        <f t="array" ref="AH11">(_xll.BDP(B11&amp;" Equity","SHORT_INT")/_xll.BDP(B11&amp;" Equity","VOLUME_AVG_90D"))</f>
        <v>1.835076864569823</v>
      </c>
      <c r="AI11" s="256" cm="1">
        <f t="array" ref="AI11">(_xll.BDP(C11&amp;" Equity","SHORT_INT")/_xll.BDP(C11&amp;" Equity","VOLUME_AVG_90D"))</f>
        <v>2.4138895269665408</v>
      </c>
      <c r="AJ11" s="256" cm="1">
        <f t="array" ref="AJ11">(_xll.BDP(B11&amp;" Equity","SHORT_INT"))/((_xll.BDP(B11&amp;" Equity","EQY_FREE_FLOAT_PCT"))*(_xll.BDP(B11&amp;" Equity","EQY_SH_OUT_TOT_MULT_SH")))/100</f>
        <v>1.2886696817530352</v>
      </c>
      <c r="AK11" s="256" cm="1">
        <f t="array" ref="AK11">(_xll.BDP(C11&amp;" Equity","SHORT_INT"))/((_xll.BDP(C11&amp;" Equity","EQY_FREE_FLOAT_PCT"))*(_xll.BDP(C11&amp;" Equity","EQY_SH_OUT_TOT_MULT_SH")))/100</f>
        <v>0.78724295695842439</v>
      </c>
      <c r="AM11" s="254">
        <f ca="1">IF(ISTEXT(B11),AP11/_xll.BDH(B11 &amp;  " Equity","BEST_EPS",$AM$3,$AM$3,"BEST_FPERIOD_OVERRIDE=1BF","CDR=US","Fill=p")-1,"")</f>
        <v>-8.561592575961674E-3</v>
      </c>
      <c r="AN11" s="254">
        <f ca="1">IF(ISTEXT(B11),AP11/_xll.BDH(B11 &amp;  " Equity","BEST_EPS",$AN$3,$AN$3,"BEST_FPERIOD_OVERRIDE=1BF","CDR=US","Fill=p")-1,"")</f>
        <v>5.2815298224313523E-3</v>
      </c>
      <c r="AO11" s="256">
        <f t="shared" ca="1" si="7"/>
        <v>20.885292430327006</v>
      </c>
      <c r="AP11" s="256" cm="1">
        <f t="array" aca="1" ref="AP11" ca="1">IF(ISTEXT(B11),_xll.BDH(B11 &amp;  " Equity","BEST_EPS",$Q$3,$Q$3,"BEST_FPERIOD_OVERRIDE=1BF","CDR=US","Fill=p"),"")</f>
        <v>33.119</v>
      </c>
      <c r="AR11" s="254">
        <f ca="1">IF(ISTEXT(C11),AU11/_xll.BDH(C11 &amp;  " Equity","BEST_EPS",$AM$3,$AM$3,"BEST_FPERIOD_OVERRIDE=1BF","CDR=US","Fill=p")-1,"")</f>
        <v>3.2189600282985564E-2</v>
      </c>
      <c r="AS11" s="254">
        <f ca="1">IF(ISTEXT(C11),AU11/_xll.BDH(C11 &amp;  " Equity","BEST_EPS",$AN$3,$AN$3,"BEST_FPERIOD_OVERRIDE=1BF","CDR=US","Fill=p")-1,"")</f>
        <v>5.0269946010797595E-2</v>
      </c>
      <c r="AT11" s="256">
        <f t="shared" ca="1" si="8"/>
        <v>30.783641763765139</v>
      </c>
      <c r="AU11" s="256" cm="1">
        <f t="array" aca="1" ref="AU11" ca="1">IF(ISTEXT(C11),_xll.BDH(C11 &amp;  " Equity","BEST_EPS",$Q$3,$Q$3,"BEST_FPERIOD_OVERRIDE=1BF","CDR=US","Fill=p"),"")</f>
        <v>8.7539999999999996</v>
      </c>
    </row>
    <row r="12" spans="1:47">
      <c r="A12" t="str">
        <f t="shared" si="0"/>
        <v>.BKNGABNB</v>
      </c>
      <c r="B12" s="248" t="s">
        <v>128</v>
      </c>
      <c r="C12" s="248" t="s">
        <v>129</v>
      </c>
      <c r="D12" s="249">
        <f>SUMIF(Tabelad[Ticker],PAIR_Monitor!B12,Tabelad[Exp %])</f>
        <v>0</v>
      </c>
      <c r="E12" s="249">
        <f>SUMIF(Tabelad[Ticker],PAIR_Monitor!C12,Tabelad[Exp %])</f>
        <v>0</v>
      </c>
      <c r="F12" s="248"/>
      <c r="G12" s="182" cm="1">
        <f t="array" ref="G12">_xll.BDP(B12&amp;" Equity","LAST PRICE")</f>
        <v>4644.6400000000003</v>
      </c>
      <c r="H12" s="183" cm="1">
        <f t="array" ref="H12">G12/_xll.BDP(B12&amp;" Equity", "PREV_CLOSE_VAL")-1</f>
        <v>-9.3242227536726952E-2</v>
      </c>
      <c r="I12" s="182" cm="1">
        <f t="array" ref="I12">_xll.BDP(C12&amp;" Equity","LAST PRICE")</f>
        <v>122.075</v>
      </c>
      <c r="J12" s="183" cm="1">
        <f t="array" ref="J12">I12/_xll.BDP(C12&amp;" Equity", "PREV_CLOSE_VAL")-1</f>
        <v>-7.0329754017211199E-2</v>
      </c>
      <c r="K12" s="184">
        <f t="shared" si="1"/>
        <v>38.047429858693427</v>
      </c>
      <c r="L12" s="183" cm="1">
        <f t="array" ref="L12">K12/(_xll.BDP(B12&amp;" Equity", "PREV_CLOSE_VAL")/_xll.BDP(C12&amp;" Equity", "PREV_CLOSE_VAL"))-1</f>
        <v>-2.4645807068176429E-2</v>
      </c>
      <c r="M12" s="183"/>
      <c r="N12" s="185">
        <f t="shared" si="2"/>
        <v>1.8174140924055275</v>
      </c>
      <c r="O12" s="186">
        <f t="shared" si="3"/>
        <v>1.3560919974795211E-2</v>
      </c>
      <c r="P12" s="187" cm="1">
        <f t="array" ref="P12">_xll.BDP($A12&amp;" Index","VOLATILITY_30D")</f>
        <v>21.521180000000001</v>
      </c>
      <c r="Q12" s="187" cm="1">
        <f t="array" aca="1" ref="Q12" ca="1">(_xll.BDP(($B12&amp; " Equity"),"CORR_COEF", "BETA_OVERRIDE_REL_INDEX",($C12&amp; " Equity"),"BETA_OVERRIDE_END_DT",$Q$5,"BETA_OVERRIDE_START_DT",$Q$4))*100</f>
        <v>74.19207471548917</v>
      </c>
      <c r="R12" s="183"/>
      <c r="S12" s="183" cm="1">
        <f t="array" ref="S12">_xll.BDP($A12&amp;" Index","CHG_PCT_2D")/100</f>
        <v>-1.7533529999999999E-2</v>
      </c>
      <c r="T12" s="183" cm="1">
        <f t="array" ref="T12">_xll.BDP($A12&amp;" Index","CHG_PCT_5D")/100</f>
        <v>-2.5422299999999998E-2</v>
      </c>
      <c r="U12" s="183" cm="1">
        <f t="array" ref="U12">K12/_xll.BDP($A12&amp;" Index","HIGH_52WEEK")-1</f>
        <v>-0.17627534702273406</v>
      </c>
      <c r="V12" s="183" cm="1">
        <f t="array" ref="V12">K12/_xll.BDP($A12&amp;" Index","LOW_52WEEK")-1</f>
        <v>0.21751191142101467</v>
      </c>
      <c r="W12" s="183"/>
      <c r="X12" s="187" cm="1">
        <f t="array" ref="X12">_xll.BDP($A12&amp;" Index","RSI_14D")</f>
        <v>47.94594</v>
      </c>
      <c r="Y12" s="188"/>
      <c r="Z12" s="189">
        <f t="shared" si="4"/>
        <v>-1</v>
      </c>
      <c r="AA12" s="188"/>
      <c r="AB12" s="189">
        <f t="shared" si="5"/>
        <v>-1</v>
      </c>
      <c r="AC12" s="188">
        <v>38.71</v>
      </c>
      <c r="AD12" s="183">
        <f t="shared" si="6"/>
        <v>-1.7116252681647515E-2</v>
      </c>
      <c r="AE12" s="183"/>
      <c r="AF12" s="190">
        <f>IF(ISTEXT(B12),_xll.BDP(B12 &amp; " Equity","EXPECTED_REPORT_DT")*1,"")</f>
        <v>46071</v>
      </c>
      <c r="AG12" s="190">
        <f>IF(ISTEXT(C12),_xll.BDP(C12 &amp; " Equity","EXPECTED_REPORT_DT")*1,"")</f>
        <v>46065</v>
      </c>
      <c r="AH12" s="191" cm="1">
        <f t="array" ref="AH12">(_xll.BDP(B12&amp;" Equity","SHORT_INT")/_xll.BDP(B12&amp;" Equity","VOLUME_AVG_90D"))</f>
        <v>2.9107440601485743</v>
      </c>
      <c r="AI12" s="191" cm="1">
        <f t="array" ref="AI12">(_xll.BDP(C12&amp;" Equity","SHORT_INT")/_xll.BDP(C12&amp;" Equity","VOLUME_AVG_90D"))</f>
        <v>3.7120618746088558</v>
      </c>
      <c r="AJ12" s="191" cm="1">
        <f t="array" ref="AJ12">(_xll.BDP(B12&amp;" Equity","SHORT_INT"))/((_xll.BDP(B12&amp;" Equity","EQY_FREE_FLOAT_PCT"))*(_xll.BDP(B12&amp;" Equity","EQY_SH_OUT_TOT_MULT_SH")))/100</f>
        <v>2.2681119591180829</v>
      </c>
      <c r="AK12" s="191" cm="1">
        <f t="array" ref="AK12">(_xll.BDP(C12&amp;" Equity","SHORT_INT"))/((_xll.BDP(C12&amp;" Equity","EQY_FREE_FLOAT_PCT"))*(_xll.BDP(C12&amp;" Equity","EQY_SH_OUT_TOT_MULT_SH")))/100</f>
        <v>3.1314491967447604</v>
      </c>
      <c r="AM12" s="189">
        <f ca="1">IF(ISTEXT(B12),AP12/_xll.BDH(B12 &amp;  " Equity","BEST_EPS",$AM$3,$AM$3,"BEST_FPERIOD_OVERRIDE=1BF","CDR=US","Fill=p")-1,"")</f>
        <v>1.8779024949705736E-2</v>
      </c>
      <c r="AN12" s="189">
        <f ca="1">IF(ISTEXT(B12),AP12/_xll.BDH(B12 &amp;  " Equity","BEST_EPS",$AN$3,$AN$3,"BEST_FPERIOD_OVERRIDE=1BF","CDR=US","Fill=p")-1,"")</f>
        <v>4.4924232782193707E-2</v>
      </c>
      <c r="AO12" s="191">
        <f t="shared" ca="1" si="7"/>
        <v>17.143384429130883</v>
      </c>
      <c r="AP12" s="191" cm="1">
        <f t="array" aca="1" ref="AP12" ca="1">IF(ISTEXT(B12),_xll.BDH(B12 &amp;  " Equity","BEST_EPS",$Q$3,$Q$3,"BEST_FPERIOD_OVERRIDE=1BF","CDR=US","Fill=p"),"")</f>
        <v>270.92899999999997</v>
      </c>
      <c r="AR12" s="189">
        <f ca="1">IF(ISTEXT(C12),AU12/_xll.BDH(C12 &amp;  " Equity","BEST_EPS",$AM$3,$AM$3,"BEST_FPERIOD_OVERRIDE=1BF","CDR=US","Fill=p")-1,"")</f>
        <v>1.8621973929236368E-2</v>
      </c>
      <c r="AS12" s="189">
        <f ca="1">IF(ISTEXT(C12),AU12/_xll.BDH(C12 &amp;  " Equity","BEST_EPS",$AN$3,$AN$3,"BEST_FPERIOD_OVERRIDE=1BF","CDR=US","Fill=p")-1,"")</f>
        <v>4.789272030651337E-2</v>
      </c>
      <c r="AT12" s="191">
        <f t="shared" ca="1" si="8"/>
        <v>24.796871826122285</v>
      </c>
      <c r="AU12" s="191" cm="1">
        <f t="array" aca="1" ref="AU12" ca="1">IF(ISTEXT(C12),_xll.BDH(C12 &amp;  " Equity","BEST_EPS",$Q$3,$Q$3,"BEST_FPERIOD_OVERRIDE=1BF","CDR=US","Fill=p"),"")</f>
        <v>4.923</v>
      </c>
    </row>
    <row r="13" spans="1:47">
      <c r="A13" t="str">
        <f t="shared" si="0"/>
        <v>.TSMSOXX</v>
      </c>
      <c r="B13" s="248" t="s">
        <v>96</v>
      </c>
      <c r="C13" s="248" t="s">
        <v>95</v>
      </c>
      <c r="D13" s="249">
        <f>SUMIF(Tabelad[Ticker],PAIR_Monitor!B13,Tabelad[Exp %])</f>
        <v>5.9001689778367637E-3</v>
      </c>
      <c r="E13" s="249">
        <f>SUMIF(Tabelad[Ticker],PAIR_Monitor!C13,Tabelad[Exp %])</f>
        <v>0</v>
      </c>
      <c r="F13" s="248"/>
      <c r="G13" s="250" cm="1">
        <f t="array" ref="G13">_xll.BDP(B13&amp;" Equity","LAST PRICE")</f>
        <v>335.75</v>
      </c>
      <c r="H13" s="251" cm="1">
        <f t="array" ref="H13">G13/_xll.BDP(B13&amp;" Equity", "PREV_CLOSE_VAL")-1</f>
        <v>-1.6434262948207157E-2</v>
      </c>
      <c r="I13" s="250" cm="1">
        <f t="array" ref="I13">_xll.BDP(C13&amp;" Equity","LAST PRICE")</f>
        <v>345.64</v>
      </c>
      <c r="J13" s="251" cm="1">
        <f t="array" ref="J13">I13/_xll.BDP(C13&amp;" Equity", "PREV_CLOSE_VAL")-1</f>
        <v>-1.9989225665598687E-2</v>
      </c>
      <c r="K13" s="252">
        <f t="shared" si="1"/>
        <v>0.97138641360953593</v>
      </c>
      <c r="L13" s="251" cm="1">
        <f t="array" ref="L13">K13/(_xll.BDP(B13&amp;" Equity", "PREV_CLOSE_VAL")/_xll.BDP(C13&amp;" Equity", "PREV_CLOSE_VAL"))-1</f>
        <v>3.6274730956971091E-3</v>
      </c>
      <c r="M13" s="251"/>
      <c r="N13" s="185">
        <f t="shared" si="2"/>
        <v>0.2165563522347915</v>
      </c>
      <c r="O13" s="186">
        <f t="shared" si="3"/>
        <v>1.6750712035286705E-2</v>
      </c>
      <c r="P13" s="253" cm="1">
        <f t="array" ref="P13">_xll.BDP($A13&amp;" Index","VOLATILITY_30D")</f>
        <v>26.583379999999998</v>
      </c>
      <c r="Q13" s="253" cm="1">
        <f t="array" aca="1" ref="Q13" ca="1">(_xll.BDP(($B13&amp; " Equity"),"CORR_COEF", "BETA_OVERRIDE_REL_INDEX",($C13&amp; " Equity"),"BETA_OVERRIDE_END_DT",$Q$5,"BETA_OVERRIDE_START_DT",$Q$4))*100</f>
        <v>74.931895007708491</v>
      </c>
      <c r="R13" s="251"/>
      <c r="S13" s="251" cm="1">
        <f t="array" ref="S13">_xll.BDP($A13&amp;" Index","CHG_PCT_2D")/100</f>
        <v>1.9896219999999999E-2</v>
      </c>
      <c r="T13" s="251" cm="1">
        <f t="array" ref="T13">_xll.BDP($A13&amp;" Index","CHG_PCT_5D")/100</f>
        <v>1.0198069999999998E-2</v>
      </c>
      <c r="U13" s="251" cm="1">
        <f t="array" ref="U13">K13/_xll.BDP($A13&amp;" Index","HIGH_52WEEK")-1</f>
        <v>-8.6407451037812111E-2</v>
      </c>
      <c r="V13" s="251" cm="1">
        <f t="array" ref="V13">K13/_xll.BDP($A13&amp;" Index","LOW_52WEEK")-1</f>
        <v>0.13546044840389926</v>
      </c>
      <c r="W13" s="251"/>
      <c r="X13" s="253" cm="1">
        <f t="array" ref="X13">_xll.BDP($A13&amp;" Index","RSI_14D")</f>
        <v>48.613669999999999</v>
      </c>
      <c r="Y13" s="252"/>
      <c r="Z13" s="254">
        <f t="shared" si="4"/>
        <v>-1</v>
      </c>
      <c r="AA13" s="252"/>
      <c r="AB13" s="254">
        <f t="shared" si="5"/>
        <v>-1</v>
      </c>
      <c r="AC13" s="188">
        <v>0.9</v>
      </c>
      <c r="AD13" s="251">
        <f t="shared" si="6"/>
        <v>7.9318237343928732E-2</v>
      </c>
      <c r="AE13" s="251"/>
      <c r="AF13" s="255">
        <f>IF(ISTEXT(B13),_xll.BDP(B13 &amp; " Equity","EXPECTED_REPORT_DT")*1,"")</f>
        <v>46129</v>
      </c>
      <c r="AG13" s="255" t="e">
        <f>IF(ISTEXT(C13),_xll.BDP(C13 &amp; " Equity","EXPECTED_REPORT_DT")*1,"")</f>
        <v>#VALUE!</v>
      </c>
      <c r="AH13" s="256" cm="1">
        <f t="array" ref="AH13">(_xll.BDP(B13&amp;" Equity","SHORT_INT")/_xll.BDP(B13&amp;" Equity","VOLUME_AVG_90D"))</f>
        <v>1.7626142242904936</v>
      </c>
      <c r="AI13" s="256" cm="1">
        <f t="array" ref="AI13">(_xll.BDP(C13&amp;" Equity","SHORT_INT")/_xll.BDP(C13&amp;" Equity","VOLUME_AVG_90D"))</f>
        <v>1.1623432883845832</v>
      </c>
      <c r="AJ13" s="256" t="e" cm="1">
        <f t="array" ref="AJ13">(_xll.BDP(B13&amp;" Equity","SHORT_INT"))/((_xll.BDP(B13&amp;" Equity","EQY_FREE_FLOAT_PCT"))*(_xll.BDP(B13&amp;" Equity","EQY_SH_OUT_TOT_MULT_SH")))/100</f>
        <v>#VALUE!</v>
      </c>
      <c r="AK13" s="256" t="e" cm="1">
        <f t="array" ref="AK13">(_xll.BDP(C13&amp;" Equity","SHORT_INT"))/((_xll.BDP(C13&amp;" Equity","EQY_FREE_FLOAT_PCT"))*(_xll.BDP(C13&amp;" Equity","EQY_SH_OUT_TOT_MULT_SH")))/100</f>
        <v>#VALUE!</v>
      </c>
      <c r="AM13" s="254">
        <f ca="1">IF(ISTEXT(B13),AP13/_xll.BDH(B13 &amp;  " Equity","BEST_EPS",$AM$3,$AM$3,"BEST_FPERIOD_OVERRIDE=1BF","CDR=US","Fill=p")-1,"")</f>
        <v>0.18700618690980142</v>
      </c>
      <c r="AN13" s="254">
        <f ca="1">IF(ISTEXT(B13),AP13/_xll.BDH(B13 &amp;  " Equity","BEST_EPS",$AN$3,$AN$3,"BEST_FPERIOD_OVERRIDE=1BF","CDR=US","Fill=p")-1,"")</f>
        <v>0.25045829262670272</v>
      </c>
      <c r="AO13" s="256">
        <f t="shared" ca="1" si="7"/>
        <v>0.7368400261597412</v>
      </c>
      <c r="AP13" s="256" cm="1">
        <f t="array" aca="1" ref="AP13" ca="1">IF(ISTEXT(B13),_xll.BDH(B13 &amp;  " Equity","BEST_EPS",$Q$3,$Q$3,"BEST_FPERIOD_OVERRIDE=1BF","CDR=US","Fill=p"),"")</f>
        <v>455.66199999999998</v>
      </c>
      <c r="AR13" s="254" t="e">
        <f ca="1">IF(ISTEXT(C13),AU13/_xll.BDH(C13 &amp;  " Equity","BEST_EPS",$AM$3,$AM$3,"BEST_FPERIOD_OVERRIDE=1BF","CDR=US","Fill=p")-1,"")</f>
        <v>#VALUE!</v>
      </c>
      <c r="AS13" s="254" t="e">
        <f ca="1">IF(ISTEXT(C13),AU13/_xll.BDH(C13 &amp;  " Equity","BEST_EPS",$AN$3,$AN$3,"BEST_FPERIOD_OVERRIDE=1BF","CDR=US","Fill=p")-1,"")</f>
        <v>#VALUE!</v>
      </c>
      <c r="AT13" s="256" t="e">
        <f t="shared" ca="1" si="8"/>
        <v>#VALUE!</v>
      </c>
      <c r="AU13" s="256" t="str" cm="1">
        <f t="array" aca="1" ref="AU13" ca="1">IF(ISTEXT(C13),_xll.BDH(C13 &amp;  " Equity","BEST_EPS",$Q$3,$Q$3,"BEST_FPERIOD_OVERRIDE=1BF","CDR=US","Fill=p"),"")</f>
        <v>#N/A N/A</v>
      </c>
    </row>
    <row r="14" spans="1:47">
      <c r="A14" s="6" t="str">
        <f t="shared" si="0"/>
        <v>.NVDA</v>
      </c>
      <c r="B14" s="258" t="s">
        <v>94</v>
      </c>
      <c r="C14" s="258"/>
      <c r="D14" s="257">
        <f>SUMIF(Tabelad[Ticker],PAIR_Monitor!B14,Tabelad[Exp %])</f>
        <v>2.1723576298060677E-3</v>
      </c>
      <c r="E14" s="257"/>
      <c r="F14" s="248"/>
      <c r="G14" s="250" cm="1">
        <f t="array" ref="G14">_xll.BDP(B14&amp;" Equity","LAST PRICE")</f>
        <v>180.34</v>
      </c>
      <c r="H14" s="251" cm="1">
        <f t="array" ref="H14">G14/_xll.BDP(B14&amp;" Equity", "PREV_CLOSE_VAL")-1</f>
        <v>-2.8392866763644276E-2</v>
      </c>
      <c r="I14" s="250" t="str" cm="1">
        <f t="array" ref="I14">_xll.BDP(C14&amp;" Equity","LAST PRICE")</f>
        <v>#N/A Invalid Security</v>
      </c>
      <c r="J14" s="251" t="e" cm="1">
        <f t="array" ref="J14">I14/_xll.BDP(C14&amp;" Equity", "PREV_CLOSE_VAL")-1</f>
        <v>#VALUE!</v>
      </c>
      <c r="K14" s="252" t="e">
        <f t="shared" si="1"/>
        <v>#VALUE!</v>
      </c>
      <c r="L14" s="251" t="e" cm="1">
        <f t="array" ref="L14">K14/(_xll.BDP(B14&amp;" Equity", "PREV_CLOSE_VAL")/_xll.BDP(C14&amp;" Equity", "PREV_CLOSE_VAL"))-1</f>
        <v>#VALUE!</v>
      </c>
      <c r="M14" s="251"/>
      <c r="N14" s="185" t="e">
        <f t="shared" si="2"/>
        <v>#VALUE!</v>
      </c>
      <c r="O14" s="186" t="e">
        <f t="shared" si="3"/>
        <v>#VALUE!</v>
      </c>
      <c r="P14" s="253" t="str" cm="1">
        <f t="array" ref="P14">_xll.BDP($A14&amp;" Index","VOLATILITY_30D")</f>
        <v>#N/A Invalid Security</v>
      </c>
      <c r="Q14" s="253" t="e" cm="1">
        <f t="array" aca="1" ref="Q14" ca="1">(_xll.BDP(($B14&amp; " Equity"),"CORR_COEF", "BETA_OVERRIDE_REL_INDEX",($C14&amp; " Equity"),"BETA_OVERRIDE_END_DT",$Q$5,"BETA_OVERRIDE_START_DT",$Q$4))*100</f>
        <v>#VALUE!</v>
      </c>
      <c r="R14" s="251"/>
      <c r="S14" s="251" t="e" cm="1">
        <f t="array" ref="S14">_xll.BDP($A14&amp;" Index","CHG_PCT_2D")/100</f>
        <v>#VALUE!</v>
      </c>
      <c r="T14" s="251" t="e" cm="1">
        <f t="array" ref="T14">_xll.BDP($A14&amp;" Index","CHG_PCT_5D")/100</f>
        <v>#VALUE!</v>
      </c>
      <c r="U14" s="251" t="e" cm="1">
        <f t="array" ref="U14">K14/_xll.BDP($A14&amp;" Index","HIGH_52WEEK")-1</f>
        <v>#VALUE!</v>
      </c>
      <c r="V14" s="251" t="e" cm="1">
        <f t="array" ref="V14">K14/_xll.BDP($A14&amp;" Index","LOW_52WEEK")-1</f>
        <v>#VALUE!</v>
      </c>
      <c r="W14" s="251"/>
      <c r="X14" s="253" t="str" cm="1">
        <f t="array" ref="X14">_xll.BDP($A14&amp;" Index","RSI_14D")</f>
        <v>#N/A Invalid Security</v>
      </c>
      <c r="Y14" s="252"/>
      <c r="Z14" s="254" t="e">
        <f t="shared" si="4"/>
        <v>#VALUE!</v>
      </c>
      <c r="AA14" s="252"/>
      <c r="AB14" s="254" t="e">
        <f t="shared" si="5"/>
        <v>#VALUE!</v>
      </c>
      <c r="AC14" s="252"/>
      <c r="AD14" s="251" t="e">
        <f t="shared" si="6"/>
        <v>#VALUE!</v>
      </c>
      <c r="AE14" s="251"/>
      <c r="AF14" s="255">
        <f>IF(ISTEXT(B14),_xll.BDP(B14 &amp; " Equity","EXPECTED_REPORT_DT")*1,"")</f>
        <v>46078</v>
      </c>
      <c r="AG14" s="255" t="str">
        <f>IF(ISTEXT(C14),_xll.BDP(C14 &amp; " Equity","EXPECTED_REPORT_DT")*1,"")</f>
        <v/>
      </c>
      <c r="AH14" s="256" cm="1">
        <f t="array" ref="AH14">(_xll.BDP(B14&amp;" Equity","SHORT_INT")/_xll.BDP(B14&amp;" Equity","VOLUME_AVG_90D"))</f>
        <v>1.4553195567571278</v>
      </c>
      <c r="AI14" s="256" t="e" cm="1">
        <f t="array" ref="AI14">(_xll.BDP(C14&amp;" Equity","SHORT_INT")/_xll.BDP(C14&amp;" Equity","VOLUME_AVG_90D"))</f>
        <v>#VALUE!</v>
      </c>
      <c r="AJ14" s="256" cm="1">
        <f t="array" ref="AJ14">(_xll.BDP(B14&amp;" Equity","SHORT_INT"))/((_xll.BDP(B14&amp;" Equity","EQY_FREE_FLOAT_PCT"))*(_xll.BDP(B14&amp;" Equity","EQY_SH_OUT_TOT_MULT_SH")))/100</f>
        <v>1.1202678799294328</v>
      </c>
      <c r="AK14" s="256" t="e" cm="1">
        <f t="array" ref="AK14">(_xll.BDP(C14&amp;" Equity","SHORT_INT"))/((_xll.BDP(C14&amp;" Equity","EQY_FREE_FLOAT_PCT"))*(_xll.BDP(C14&amp;" Equity","EQY_SH_OUT_TOT_MULT_SH")))/100</f>
        <v>#VALUE!</v>
      </c>
      <c r="AM14" s="254">
        <f ca="1">IF(ISTEXT(B14),AP14/_xll.BDH(B14 &amp;  " Equity","BEST_EPS",$AM$3,$AM$3,"BEST_FPERIOD_OVERRIDE=1BF","CDR=US","Fill=p")-1,"")</f>
        <v>4.2030347791056855E-2</v>
      </c>
      <c r="AN14" s="254">
        <f ca="1">IF(ISTEXT(B14),AP14/_xll.BDH(B14 &amp;  " Equity","BEST_EPS",$AN$3,$AN$3,"BEST_FPERIOD_OVERRIDE=1BF","CDR=US","Fill=p")-1,"")</f>
        <v>0.26714565643370358</v>
      </c>
      <c r="AO14" s="256">
        <f t="shared" ca="1" si="7"/>
        <v>23.239690721649485</v>
      </c>
      <c r="AP14" s="256" cm="1">
        <f t="array" aca="1" ref="AP14" ca="1">IF(ISTEXT(B14),_xll.BDH(B14 &amp;  " Equity","BEST_EPS",$Q$3,$Q$3,"BEST_FPERIOD_OVERRIDE=1BF","CDR=US","Fill=p"),"")</f>
        <v>7.76</v>
      </c>
      <c r="AR14" s="254" t="str">
        <f>IF(ISTEXT(C14),AU14/_xll.BDH(C14 &amp;  " Equity","BEST_EPS",$AM$3,$AM$3,"BEST_FPERIOD_OVERRIDE=1BF","CDR=US","Fill=p")-1,"")</f>
        <v/>
      </c>
      <c r="AS14" s="254" t="str">
        <f>IF(ISTEXT(C14),AU14/_xll.BDH(C14 &amp;  " Equity","BEST_EPS",$AN$3,$AN$3,"BEST_FPERIOD_OVERRIDE=1BF","CDR=US","Fill=p")-1,"")</f>
        <v/>
      </c>
      <c r="AT14" s="256" t="e">
        <f t="shared" si="8"/>
        <v>#VALUE!</v>
      </c>
      <c r="AU14" s="256" t="str">
        <f>IF(ISTEXT(C14),_xll.BDH(C14 &amp;  " Equity","BEST_EPS",$Q$3,$Q$3,"BEST_FPERIOD_OVERRIDE=1BF","CDR=US","Fill=p"),"")</f>
        <v/>
      </c>
    </row>
    <row r="15" spans="1:47">
      <c r="A15" t="str">
        <f t="shared" si="0"/>
        <v>.VRSP</v>
      </c>
      <c r="B15" s="248" t="s">
        <v>87</v>
      </c>
      <c r="C15" s="248" t="s">
        <v>3</v>
      </c>
      <c r="D15" s="249">
        <f>SUMIF(Tabelad[Ticker],PAIR_Monitor!B15,Tabelad[Exp %])</f>
        <v>0</v>
      </c>
      <c r="E15" s="249">
        <f>-D15</f>
        <v>0</v>
      </c>
      <c r="F15" s="248"/>
      <c r="G15" s="182" cm="1">
        <f t="array" ref="G15">_xll.BDP(B15&amp;" Equity","LAST PRICE")</f>
        <v>328.93</v>
      </c>
      <c r="H15" s="183" cm="1">
        <f t="array" ref="H15">G15/_xll.BDP(B15&amp;" Equity", "PREV_CLOSE_VAL")-1</f>
        <v>-1.4707644380541507E-2</v>
      </c>
      <c r="I15" s="182" cm="1">
        <f t="array" ref="I15">_xll.BDP(C15&amp;" Equity","LAST PRICE")</f>
        <v>198.57</v>
      </c>
      <c r="J15" s="183" cm="1">
        <f t="array" ref="J15">I15/_xll.BDP(C15&amp;" Equity", "PREV_CLOSE_VAL")-1</f>
        <v>-2.6619789050728038E-3</v>
      </c>
      <c r="K15" s="184">
        <f t="shared" si="1"/>
        <v>1.6564939316110188</v>
      </c>
      <c r="L15" s="183" cm="1">
        <f t="array" ref="L15">K15/(_xll.BDP(B15&amp;" Equity", "PREV_CLOSE_VAL")/_xll.BDP(C15&amp;" Equity", "PREV_CLOSE_VAL"))-1</f>
        <v>-1.2077816367859318E-2</v>
      </c>
      <c r="M15" s="183"/>
      <c r="N15" s="185">
        <f t="shared" si="2"/>
        <v>0.80847838886325119</v>
      </c>
      <c r="O15" s="186">
        <f t="shared" si="3"/>
        <v>1.4938947700063014E-2</v>
      </c>
      <c r="P15" s="187" cm="1">
        <f t="array" ref="P15">_xll.BDP($A15&amp;" Index","VOLATILITY_30D")</f>
        <v>23.708110000000001</v>
      </c>
      <c r="Q15" s="187" cm="1">
        <f t="array" aca="1" ref="Q15" ca="1">(_xll.BDP(($B15&amp; " Equity"),"CORR_COEF", "BETA_OVERRIDE_REL_INDEX",($C15&amp; " Equity"),"BETA_OVERRIDE_END_DT",$Q$5,"BETA_OVERRIDE_START_DT",$Q$4))*100</f>
        <v>45.875066053846091</v>
      </c>
      <c r="R15" s="183"/>
      <c r="S15" s="183" cm="1">
        <f t="array" ref="S15">_xll.BDP($A15&amp;" Index","CHG_PCT_2D")/100</f>
        <v>2.4706600000000002E-2</v>
      </c>
      <c r="T15" s="183" cm="1">
        <f t="array" ref="T15">_xll.BDP($A15&amp;" Index","CHG_PCT_5D")/100</f>
        <v>1.8251449999999999E-2</v>
      </c>
      <c r="U15" s="183" cm="1">
        <f t="array" ref="U15">K15/_xll.BDP($A15&amp;" Index","HIGH_52WEEK")-1</f>
        <v>-0.20527836631163421</v>
      </c>
      <c r="V15" s="183" cm="1">
        <f t="array" ref="V15">K15/_xll.BDP($A15&amp;" Index","LOW_52WEEK")-1</f>
        <v>1.9537732950311693E-2</v>
      </c>
      <c r="W15" s="183"/>
      <c r="X15" s="187" cm="1">
        <f t="array" ref="X15">_xll.BDP($A15&amp;" Index","RSI_14D")</f>
        <v>45.640070000000001</v>
      </c>
      <c r="Y15" s="188"/>
      <c r="Z15" s="189">
        <f t="shared" si="4"/>
        <v>-1</v>
      </c>
      <c r="AA15" s="188"/>
      <c r="AB15" s="189">
        <f t="shared" si="5"/>
        <v>-1</v>
      </c>
      <c r="AC15" s="188">
        <v>2</v>
      </c>
      <c r="AD15" s="183">
        <f t="shared" si="6"/>
        <v>-0.17175303419449062</v>
      </c>
      <c r="AE15" s="183"/>
      <c r="AF15" s="190">
        <f>IF(ISTEXT(B15),_xll.BDP(B15 &amp; " Equity","EXPECTED_REPORT_DT")*1,"")</f>
        <v>46141</v>
      </c>
      <c r="AG15" s="190" t="e">
        <f>IF(ISTEXT(C15),_xll.BDP(C15 &amp; " Equity","EXPECTED_REPORT_DT")*1,"")</f>
        <v>#VALUE!</v>
      </c>
      <c r="AH15" s="191" cm="1">
        <f t="array" ref="AH15">(_xll.BDP(B15&amp;" Equity","SHORT_INT")/_xll.BDP(B15&amp;" Equity","VOLUME_AVG_90D"))</f>
        <v>3.3044466048537582</v>
      </c>
      <c r="AI15" s="191" cm="1">
        <f t="array" ref="AI15">(_xll.BDP(C15&amp;" Equity","SHORT_INT")/_xll.BDP(C15&amp;" Equity","VOLUME_AVG_90D"))</f>
        <v>2.2194136398088471</v>
      </c>
      <c r="AJ15" s="191" cm="1">
        <f t="array" ref="AJ15">(_xll.BDP(B15&amp;" Equity","SHORT_INT"))/((_xll.BDP(B15&amp;" Equity","EQY_FREE_FLOAT_PCT"))*(_xll.BDP(B15&amp;" Equity","EQY_SH_OUT_TOT_MULT_SH")))/100</f>
        <v>1.2231172169110915</v>
      </c>
      <c r="AK15" s="191" t="e" cm="1">
        <f t="array" ref="AK15">(_xll.BDP(C15&amp;" Equity","SHORT_INT"))/((_xll.BDP(C15&amp;" Equity","EQY_FREE_FLOAT_PCT"))*(_xll.BDP(C15&amp;" Equity","EQY_SH_OUT_TOT_MULT_SH")))/100</f>
        <v>#VALUE!</v>
      </c>
      <c r="AM15" s="189">
        <f ca="1">IF(ISTEXT(B15),AP15/_xll.BDH(B15 &amp;  " Equity","BEST_EPS",$AM$3,$AM$3,"BEST_FPERIOD_OVERRIDE=1BF","CDR=US","Fill=p")-1,"")</f>
        <v>1.6268159806295479E-2</v>
      </c>
      <c r="AN15" s="189">
        <f ca="1">IF(ISTEXT(B15),AP15/_xll.BDH(B15 &amp;  " Equity","BEST_EPS",$AN$3,$AN$3,"BEST_FPERIOD_OVERRIDE=1BF","CDR=US","Fill=p")-1,"")</f>
        <v>3.770377810399439E-2</v>
      </c>
      <c r="AO15" s="191">
        <f t="shared" ca="1" si="7"/>
        <v>24.490358126721766</v>
      </c>
      <c r="AP15" s="191" cm="1">
        <f t="array" aca="1" ref="AP15" ca="1">IF(ISTEXT(B15),_xll.BDH(B15 &amp;  " Equity","BEST_EPS",$Q$3,$Q$3,"BEST_FPERIOD_OVERRIDE=1BF","CDR=US","Fill=p"),"")</f>
        <v>13.430999999999999</v>
      </c>
      <c r="AR15" s="189" t="e">
        <f ca="1">IF(ISTEXT(C15),AU15/_xll.BDH(C15 &amp;  " Equity","BEST_EPS",$AM$3,$AM$3,"BEST_FPERIOD_OVERRIDE=1BF","CDR=US","Fill=p")-1,"")</f>
        <v>#VALUE!</v>
      </c>
      <c r="AS15" s="189" t="e">
        <f ca="1">IF(ISTEXT(C15),AU15/_xll.BDH(C15 &amp;  " Equity","BEST_EPS",$AN$3,$AN$3,"BEST_FPERIOD_OVERRIDE=1BF","CDR=US","Fill=p")-1,"")</f>
        <v>#VALUE!</v>
      </c>
      <c r="AT15" s="191" t="e">
        <f t="shared" ca="1" si="8"/>
        <v>#VALUE!</v>
      </c>
      <c r="AU15" s="191" t="str" cm="1">
        <f t="array" aca="1" ref="AU15" ca="1">IF(ISTEXT(C15),_xll.BDH(C15 &amp;  " Equity","BEST_EPS",$Q$3,$Q$3,"BEST_FPERIOD_OVERRIDE=1BF","CDR=US","Fill=p"),"")</f>
        <v>#N/A N/A</v>
      </c>
    </row>
    <row r="16" spans="1:47">
      <c r="A16" t="str">
        <f t="shared" si="0"/>
        <v>.MARSP</v>
      </c>
      <c r="B16" s="248" t="s">
        <v>86</v>
      </c>
      <c r="C16" s="248" t="s">
        <v>3</v>
      </c>
      <c r="D16" s="249">
        <f>SUMIF(Tabelad[Ticker],PAIR_Monitor!B16,Tabelad[Exp %])</f>
        <v>0</v>
      </c>
      <c r="E16" s="249">
        <f>-D16</f>
        <v>0</v>
      </c>
      <c r="F16" s="248"/>
      <c r="G16" s="182" cm="1">
        <f t="array" ref="G16">_xll.BDP(B16&amp;" Equity","LAST PRICE")</f>
        <v>550.72</v>
      </c>
      <c r="H16" s="183" cm="1">
        <f t="array" ref="H16">G16/_xll.BDP(B16&amp;" Equity", "PREV_CLOSE_VAL")-1</f>
        <v>-8.3727965140356631E-3</v>
      </c>
      <c r="I16" s="182" cm="1">
        <f t="array" ref="I16">_xll.BDP(C16&amp;" Equity","LAST PRICE")</f>
        <v>198.57</v>
      </c>
      <c r="J16" s="183" cm="1">
        <f t="array" ref="J16">I16/_xll.BDP(C16&amp;" Equity", "PREV_CLOSE_VAL")-1</f>
        <v>-2.6619789050728038E-3</v>
      </c>
      <c r="K16" s="184">
        <f t="shared" si="1"/>
        <v>2.7734300246764367</v>
      </c>
      <c r="L16" s="183" cm="1">
        <f t="array" ref="L16">K16/(_xll.BDP(B16&amp;" Equity", "PREV_CLOSE_VAL")/_xll.BDP(C16&amp;" Equity", "PREV_CLOSE_VAL"))-1</f>
        <v>-5.7260602605856414E-3</v>
      </c>
      <c r="M16" s="183"/>
      <c r="N16" s="185">
        <f t="shared" si="2"/>
        <v>0.38558101272289669</v>
      </c>
      <c r="O16" s="186">
        <f t="shared" si="3"/>
        <v>1.4850472589792061E-2</v>
      </c>
      <c r="P16" s="187" cm="1">
        <f t="array" ref="P16">_xll.BDP($A16&amp;" Index","VOLATILITY_30D")</f>
        <v>23.567699999999999</v>
      </c>
      <c r="Q16" s="187" cm="1">
        <f t="array" aca="1" ref="Q16" ca="1">(_xll.BDP(($B16&amp; " Equity"),"CORR_COEF", "BETA_OVERRIDE_REL_INDEX",($C16&amp; " Equity"),"BETA_OVERRIDE_END_DT",$Q$5,"BETA_OVERRIDE_START_DT",$Q$4))*100</f>
        <v>60.217613936687698</v>
      </c>
      <c r="R16" s="183"/>
      <c r="S16" s="183" cm="1">
        <f t="array" ref="S16">_xll.BDP($A16&amp;" Index","CHG_PCT_2D")/100</f>
        <v>2.3200569999999997E-2</v>
      </c>
      <c r="T16" s="183" cm="1">
        <f t="array" ref="T16">_xll.BDP($A16&amp;" Index","CHG_PCT_5D")/100</f>
        <v>6.3884200000000002E-2</v>
      </c>
      <c r="U16" s="183" cm="1">
        <f t="array" ref="U16">K16/_xll.BDP($A16&amp;" Index","HIGH_52WEEK")-1</f>
        <v>-0.16441809835125853</v>
      </c>
      <c r="V16" s="183" cm="1">
        <f t="array" ref="V16">K16/_xll.BDP($A16&amp;" Index","LOW_52WEEK")-1</f>
        <v>6.0159410055785179E-2</v>
      </c>
      <c r="W16" s="183"/>
      <c r="X16" s="187" cm="1">
        <f t="array" ref="X16">_xll.BDP($A16&amp;" Index","RSI_14D")</f>
        <v>51.050930000000001</v>
      </c>
      <c r="Y16" s="188"/>
      <c r="Z16" s="189">
        <f t="shared" si="4"/>
        <v>-1</v>
      </c>
      <c r="AA16" s="188"/>
      <c r="AB16" s="189">
        <f t="shared" si="5"/>
        <v>-1</v>
      </c>
      <c r="AC16" s="188">
        <v>3.26</v>
      </c>
      <c r="AD16" s="183">
        <f t="shared" si="6"/>
        <v>-0.14925459365753468</v>
      </c>
      <c r="AE16" s="183"/>
      <c r="AF16" s="190">
        <f>IF(ISTEXT(B16),_xll.BDP(B16 &amp; " Equity","EXPECTED_REPORT_DT")*1,"")</f>
        <v>46143</v>
      </c>
      <c r="AG16" s="190" t="e">
        <f>IF(ISTEXT(C16),_xll.BDP(C16 &amp; " Equity","EXPECTED_REPORT_DT")*1,"")</f>
        <v>#VALUE!</v>
      </c>
      <c r="AH16" s="191" cm="1">
        <f t="array" ref="AH16">(_xll.BDP(B16&amp;" Equity","SHORT_INT")/_xll.BDP(B16&amp;" Equity","VOLUME_AVG_90D"))</f>
        <v>2.3341391514050596</v>
      </c>
      <c r="AI16" s="191" cm="1">
        <f t="array" ref="AI16">(_xll.BDP(C16&amp;" Equity","SHORT_INT")/_xll.BDP(C16&amp;" Equity","VOLUME_AVG_90D"))</f>
        <v>2.2194136398088471</v>
      </c>
      <c r="AJ16" s="191" cm="1">
        <f t="array" ref="AJ16">(_xll.BDP(B16&amp;" Equity","SHORT_INT"))/((_xll.BDP(B16&amp;" Equity","EQY_FREE_FLOAT_PCT"))*(_xll.BDP(B16&amp;" Equity","EQY_SH_OUT_TOT_MULT_SH")))/100</f>
        <v>0.87130229232761147</v>
      </c>
      <c r="AK16" s="191" t="e" cm="1">
        <f t="array" ref="AK16">(_xll.BDP(C16&amp;" Equity","SHORT_INT"))/((_xll.BDP(C16&amp;" Equity","EQY_FREE_FLOAT_PCT"))*(_xll.BDP(C16&amp;" Equity","EQY_SH_OUT_TOT_MULT_SH")))/100</f>
        <v>#VALUE!</v>
      </c>
      <c r="AM16" s="189">
        <f ca="1">IF(ISTEXT(B16),AP16/_xll.BDH(B16 &amp;  " Equity","BEST_EPS",$AM$3,$AM$3,"BEST_FPERIOD_OVERRIDE=1BF","CDR=US","Fill=p")-1,"")</f>
        <v>2.9891304347825942E-2</v>
      </c>
      <c r="AN16" s="189">
        <f ca="1">IF(ISTEXT(B16),AP16/_xll.BDH(B16 &amp;  " Equity","BEST_EPS",$AN$3,$AN$3,"BEST_FPERIOD_OVERRIDE=1BF","CDR=US","Fill=p")-1,"")</f>
        <v>5.4919173536023935E-2</v>
      </c>
      <c r="AO16" s="191">
        <f t="shared" ca="1" si="7"/>
        <v>27.943982139232801</v>
      </c>
      <c r="AP16" s="191" cm="1">
        <f t="array" aca="1" ref="AP16" ca="1">IF(ISTEXT(B16),_xll.BDH(B16 &amp;  " Equity","BEST_EPS",$Q$3,$Q$3,"BEST_FPERIOD_OVERRIDE=1BF","CDR=US","Fill=p"),"")</f>
        <v>19.707999999999998</v>
      </c>
      <c r="AR16" s="189" t="e">
        <f ca="1">IF(ISTEXT(C16),AU16/_xll.BDH(C16 &amp;  " Equity","BEST_EPS",$AM$3,$AM$3,"BEST_FPERIOD_OVERRIDE=1BF","CDR=US","Fill=p")-1,"")</f>
        <v>#VALUE!</v>
      </c>
      <c r="AS16" s="189" t="e">
        <f ca="1">IF(ISTEXT(C16),AU16/_xll.BDH(C16 &amp;  " Equity","BEST_EPS",$AN$3,$AN$3,"BEST_FPERIOD_OVERRIDE=1BF","CDR=US","Fill=p")-1,"")</f>
        <v>#VALUE!</v>
      </c>
      <c r="AT16" s="191" t="e">
        <f t="shared" ca="1" si="8"/>
        <v>#VALUE!</v>
      </c>
      <c r="AU16" s="191" t="str" cm="1">
        <f t="array" aca="1" ref="AU16" ca="1">IF(ISTEXT(C16),_xll.BDH(C16 &amp;  " Equity","BEST_EPS",$Q$3,$Q$3,"BEST_FPERIOD_OVERRIDE=1BF","CDR=US","Fill=p"),"")</f>
        <v>#N/A N/A</v>
      </c>
    </row>
    <row r="17" spans="1:47">
      <c r="A17" t="str">
        <f t="shared" si="0"/>
        <v>.XLFRSP</v>
      </c>
      <c r="B17" s="248" t="s">
        <v>88</v>
      </c>
      <c r="C17" s="248" t="s">
        <v>3</v>
      </c>
      <c r="D17" s="249">
        <f>-E17</f>
        <v>0</v>
      </c>
      <c r="E17" s="249">
        <f>SUMIF(Tabelad[Ticker],PAIR_Monitor!C17,Tabelad[Exp %])-E16-E15</f>
        <v>0</v>
      </c>
      <c r="F17" s="248"/>
      <c r="G17" s="182" cm="1">
        <f t="array" ref="G17">_xll.BDP(B17&amp;" Equity","LAST PRICE")</f>
        <v>53.53</v>
      </c>
      <c r="H17" s="183" cm="1">
        <f t="array" ref="H17">G17/_xll.BDP(B17&amp;" Equity", "PREV_CLOSE_VAL")-1</f>
        <v>-9.2541180825467251E-3</v>
      </c>
      <c r="I17" s="182" cm="1">
        <f t="array" ref="I17">_xll.BDP(C17&amp;" Equity","LAST PRICE")</f>
        <v>198.57</v>
      </c>
      <c r="J17" s="183" cm="1">
        <f t="array" ref="J17">I17/_xll.BDP(C17&amp;" Equity", "PREV_CLOSE_VAL")-1</f>
        <v>-2.6619789050728038E-3</v>
      </c>
      <c r="K17" s="184">
        <f t="shared" si="1"/>
        <v>0.26957747897466888</v>
      </c>
      <c r="L17" s="183" cm="1">
        <f t="array" ref="L17">K17/(_xll.BDP(B17&amp;" Equity", "PREV_CLOSE_VAL")/_xll.BDP(C17&amp;" Equity", "PREV_CLOSE_VAL"))-1</f>
        <v>-6.609734150350266E-3</v>
      </c>
      <c r="M17" s="183"/>
      <c r="N17" s="185">
        <f t="shared" si="2"/>
        <v>0.94258893536048016</v>
      </c>
      <c r="O17" s="186">
        <f t="shared" si="3"/>
        <v>7.0123188405797109E-3</v>
      </c>
      <c r="P17" s="187" cm="1">
        <f t="array" ref="P17">_xll.BDP($A17&amp;" Index","VOLATILITY_30D")</f>
        <v>11.128550000000001</v>
      </c>
      <c r="Q17" s="187" cm="1">
        <f t="array" aca="1" ref="Q17" ca="1">(_xll.BDP(($B17&amp; " Equity"),"CORR_COEF", "BETA_OVERRIDE_REL_INDEX",($C17&amp; " Equity"),"BETA_OVERRIDE_END_DT",$Q$5,"BETA_OVERRIDE_START_DT",$Q$4))*100</f>
        <v>69.035239837692558</v>
      </c>
      <c r="R17" s="183"/>
      <c r="S17" s="183" cm="1">
        <f t="array" ref="S17">_xll.BDP($A17&amp;" Index","CHG_PCT_2D")/100</f>
        <v>2.2239519999999997E-4</v>
      </c>
      <c r="T17" s="183" cm="1">
        <f t="array" ref="T17">_xll.BDP($A17&amp;" Index","CHG_PCT_5D")/100</f>
        <v>1.285388E-2</v>
      </c>
      <c r="U17" s="183" cm="1">
        <f t="array" ref="U17">K17/_xll.BDP($A17&amp;" Index","HIGH_52WEEK")-1</f>
        <v>-7.1223155987359621E-2</v>
      </c>
      <c r="V17" s="183" cm="1">
        <f t="array" ref="V17">K17/_xll.BDP($A17&amp;" Index","LOW_52WEEK")-1</f>
        <v>1.1813530663472127E-2</v>
      </c>
      <c r="W17" s="183"/>
      <c r="X17" s="187" cm="1">
        <f t="array" ref="X17">_xll.BDP($A17&amp;" Index","RSI_14D")</f>
        <v>41.720210000000002</v>
      </c>
      <c r="Y17" s="188"/>
      <c r="Z17" s="189">
        <f t="shared" si="4"/>
        <v>-1</v>
      </c>
      <c r="AA17" s="188"/>
      <c r="AB17" s="189">
        <f t="shared" si="5"/>
        <v>-1</v>
      </c>
      <c r="AC17" s="188">
        <v>0.28999999999999998</v>
      </c>
      <c r="AD17" s="183">
        <f t="shared" si="6"/>
        <v>-7.042248629424519E-2</v>
      </c>
      <c r="AE17" s="183"/>
      <c r="AF17" s="190" t="e">
        <f>IF(ISTEXT(B17),_xll.BDP(B17 &amp; " Equity","EXPECTED_REPORT_DT")*1,"")</f>
        <v>#VALUE!</v>
      </c>
      <c r="AG17" s="190" t="e">
        <f>IF(ISTEXT(C17),_xll.BDP(C17 &amp; " Equity","EXPECTED_REPORT_DT")*1,"")</f>
        <v>#VALUE!</v>
      </c>
      <c r="AH17" s="191" cm="1">
        <f t="array" ref="AH17">(_xll.BDP(B17&amp;" Equity","SHORT_INT")/_xll.BDP(B17&amp;" Equity","VOLUME_AVG_90D"))</f>
        <v>1.4752055103777566</v>
      </c>
      <c r="AI17" s="191" cm="1">
        <f t="array" ref="AI17">(_xll.BDP(C17&amp;" Equity","SHORT_INT")/_xll.BDP(C17&amp;" Equity","VOLUME_AVG_90D"))</f>
        <v>2.2194136398088471</v>
      </c>
      <c r="AJ17" s="191" t="e" cm="1">
        <f t="array" ref="AJ17">(_xll.BDP(B17&amp;" Equity","SHORT_INT"))/((_xll.BDP(B17&amp;" Equity","EQY_FREE_FLOAT_PCT"))*(_xll.BDP(B17&amp;" Equity","EQY_SH_OUT_TOT_MULT_SH")))/100</f>
        <v>#VALUE!</v>
      </c>
      <c r="AK17" s="191" t="e" cm="1">
        <f t="array" ref="AK17">(_xll.BDP(C17&amp;" Equity","SHORT_INT"))/((_xll.BDP(C17&amp;" Equity","EQY_FREE_FLOAT_PCT"))*(_xll.BDP(C17&amp;" Equity","EQY_SH_OUT_TOT_MULT_SH")))/100</f>
        <v>#VALUE!</v>
      </c>
      <c r="AM17" s="189" t="e">
        <f ca="1">IF(ISTEXT(B17),AP17/_xll.BDH(B17 &amp;  " Equity","BEST_EPS",$AM$3,$AM$3,"BEST_FPERIOD_OVERRIDE=1BF","CDR=US","Fill=p")-1,"")</f>
        <v>#VALUE!</v>
      </c>
      <c r="AN17" s="189" t="e">
        <f ca="1">IF(ISTEXT(B17),AP17/_xll.BDH(B17 &amp;  " Equity","BEST_EPS",$AN$3,$AN$3,"BEST_FPERIOD_OVERRIDE=1BF","CDR=US","Fill=p")-1,"")</f>
        <v>#VALUE!</v>
      </c>
      <c r="AO17" s="191" t="e">
        <f t="shared" ca="1" si="7"/>
        <v>#VALUE!</v>
      </c>
      <c r="AP17" s="191" t="str" cm="1">
        <f t="array" aca="1" ref="AP17" ca="1">IF(ISTEXT(B17),_xll.BDH(B17 &amp;  " Equity","BEST_EPS",$Q$3,$Q$3,"BEST_FPERIOD_OVERRIDE=1BF","CDR=US","Fill=p"),"")</f>
        <v>#N/A N/A</v>
      </c>
      <c r="AR17" s="189" t="e">
        <f ca="1">IF(ISTEXT(C17),AU17/_xll.BDH(C17 &amp;  " Equity","BEST_EPS",$AM$3,$AM$3,"BEST_FPERIOD_OVERRIDE=1BF","CDR=US","Fill=p")-1,"")</f>
        <v>#VALUE!</v>
      </c>
      <c r="AS17" s="189" t="e">
        <f ca="1">IF(ISTEXT(C17),AU17/_xll.BDH(C17 &amp;  " Equity","BEST_EPS",$AN$3,$AN$3,"BEST_FPERIOD_OVERRIDE=1BF","CDR=US","Fill=p")-1,"")</f>
        <v>#VALUE!</v>
      </c>
      <c r="AT17" s="191" t="e">
        <f t="shared" ca="1" si="8"/>
        <v>#VALUE!</v>
      </c>
      <c r="AU17" s="191" t="str" cm="1">
        <f t="array" aca="1" ref="AU17" ca="1">IF(ISTEXT(C17),_xll.BDH(C17 &amp;  " Equity","BEST_EPS",$Q$3,$Q$3,"BEST_FPERIOD_OVERRIDE=1BF","CDR=US","Fill=p"),"")</f>
        <v>#N/A N/A</v>
      </c>
    </row>
    <row r="18" spans="1:47">
      <c r="A18" t="s">
        <v>130</v>
      </c>
      <c r="B18" s="248" t="s">
        <v>88</v>
      </c>
      <c r="C18" s="248" t="s">
        <v>85</v>
      </c>
      <c r="D18" s="249">
        <f>-E18</f>
        <v>0</v>
      </c>
      <c r="E18" s="249">
        <f>SUMIF(Tabelad[Ticker],PAIR_Monitor!C18,Tabelad[Exp %])</f>
        <v>0</v>
      </c>
      <c r="F18" s="248"/>
      <c r="G18" s="182" cm="1">
        <f t="array" ref="G18">_xll.BDP(B18&amp;" Equity","LAST PRICE")</f>
        <v>53.53</v>
      </c>
      <c r="H18" s="183" cm="1">
        <f t="array" ref="H18">G18/_xll.BDP(B18&amp;" Equity", "PREV_CLOSE_VAL")-1</f>
        <v>-9.2541180825467251E-3</v>
      </c>
      <c r="I18" s="182" cm="1">
        <f t="array" ref="I18">_xll.BDP(C18&amp;" Equity","LAST PRICE")</f>
        <v>493.74</v>
      </c>
      <c r="J18" s="183" cm="1">
        <f t="array" ref="J18">I18/_xll.BDP(C18&amp;" Equity", "PREV_CLOSE_VAL")-1</f>
        <v>1.3236471095241065E-2</v>
      </c>
      <c r="K18" s="184">
        <f t="shared" si="1"/>
        <v>0.10841738566857051</v>
      </c>
      <c r="L18" s="183" cm="1">
        <f t="array" ref="L18">K18/(_xll.BDP(B18&amp;" Equity", "PREV_CLOSE_VAL")/_xll.BDP(C18&amp;" Equity", "PREV_CLOSE_VAL"))-1</f>
        <v>-2.2196782112942293E-2</v>
      </c>
      <c r="M18" s="183"/>
      <c r="N18" s="185">
        <f t="shared" si="2"/>
        <v>2.5682441228366235</v>
      </c>
      <c r="O18" s="186">
        <f t="shared" si="3"/>
        <v>8.6427851291745444E-3</v>
      </c>
      <c r="P18" s="187" cm="1">
        <f t="array" ref="P18">_xll.BDP($A18&amp;" Index","VOLATILITY_30D")</f>
        <v>13.716100000000001</v>
      </c>
      <c r="Q18" s="187" cm="1">
        <f t="array" aca="1" ref="Q18" ca="1">(_xll.BDP(($B18&amp; " Equity"),"CORR_COEF", "BETA_OVERRIDE_REL_INDEX",($C18&amp; " Equity"),"BETA_OVERRIDE_END_DT",$Q$5,"BETA_OVERRIDE_START_DT",$Q$4))*100</f>
        <v>49.91884389421481</v>
      </c>
      <c r="R18" s="183"/>
      <c r="S18" s="183" cm="1">
        <f t="array" ref="S18">_xll.BDP($A18&amp;" Index","CHG_PCT_2D")/100</f>
        <v>-2.581141E-2</v>
      </c>
      <c r="T18" s="183" cm="1">
        <f t="array" ref="T18">_xll.BDP($A18&amp;" Index","CHG_PCT_5D")/100</f>
        <v>-2.9702700000000002E-2</v>
      </c>
      <c r="U18" s="183" cm="1">
        <f t="array" ref="U18">K18/_xll.BDP($A18&amp;" Index","HIGH_52WEEK")-1</f>
        <v>-4.1148088188109111E-2</v>
      </c>
      <c r="V18" s="183" cm="1">
        <f t="array" ref="V18">K18/_xll.BDP($A18&amp;" Index","LOW_52WEEK")-1</f>
        <v>0.21803601470138756</v>
      </c>
      <c r="W18" s="183"/>
      <c r="X18" s="187" cm="1">
        <f t="array" ref="X18">_xll.BDP($A18&amp;" Index","RSI_14D")</f>
        <v>51.95082</v>
      </c>
      <c r="Y18" s="188"/>
      <c r="Z18" s="189">
        <f t="shared" si="4"/>
        <v>-1</v>
      </c>
      <c r="AA18" s="188"/>
      <c r="AB18" s="189">
        <f t="shared" si="5"/>
        <v>-1</v>
      </c>
      <c r="AC18" s="188">
        <v>0.1</v>
      </c>
      <c r="AD18" s="183">
        <f t="shared" si="6"/>
        <v>8.4173856685705095E-2</v>
      </c>
      <c r="AE18" s="183"/>
      <c r="AF18" s="190" t="e">
        <f>IF(ISTEXT(B18),_xll.BDP(B18 &amp; " Equity","EXPECTED_REPORT_DT")*1,"")</f>
        <v>#VALUE!</v>
      </c>
      <c r="AG18" s="190">
        <f>IF(ISTEXT(C18),_xll.BDP(C18 &amp; " Equity","EXPECTED_REPORT_DT")*1,"")</f>
        <v>46076</v>
      </c>
      <c r="AH18" s="191" cm="1">
        <f t="array" ref="AH18">(_xll.BDP(B18&amp;" Equity","SHORT_INT")/_xll.BDP(B18&amp;" Equity","VOLUME_AVG_90D"))</f>
        <v>1.4752055103777566</v>
      </c>
      <c r="AI18" s="191" cm="1">
        <f t="array" ref="AI18">(_xll.BDP(C18&amp;" Equity","SHORT_INT")/_xll.BDP(C18&amp;" Equity","VOLUME_AVG_90D"))</f>
        <v>2.2799328593177792</v>
      </c>
      <c r="AJ18" s="191" t="e" cm="1">
        <f t="array" ref="AJ18">(_xll.BDP(B18&amp;" Equity","SHORT_INT"))/((_xll.BDP(B18&amp;" Equity","EQY_FREE_FLOAT_PCT"))*(_xll.BDP(B18&amp;" Equity","EQY_SH_OUT_TOT_MULT_SH")))/100</f>
        <v>#VALUE!</v>
      </c>
      <c r="AK18" s="191" cm="1">
        <f t="array" ref="AK18">(_xll.BDP(C18&amp;" Equity","SHORT_INT"))/((_xll.BDP(C18&amp;" Equity","EQY_FREE_FLOAT_PCT"))*(_xll.BDP(C18&amp;" Equity","EQY_SH_OUT_TOT_MULT_SH")))/100</f>
        <v>0.77696832221624024</v>
      </c>
      <c r="AM18" s="189" t="e">
        <f ca="1">IF(ISTEXT(B18),AP18/_xll.BDH(B18 &amp;  " Equity","BEST_EPS",$AM$3,$AM$3,"BEST_FPERIOD_OVERRIDE=1BF","CDR=US","Fill=p")-1,"")</f>
        <v>#VALUE!</v>
      </c>
      <c r="AN18" s="189" t="e">
        <f ca="1">IF(ISTEXT(B18),AP18/_xll.BDH(B18 &amp;  " Equity","BEST_EPS",$AN$3,$AN$3,"BEST_FPERIOD_OVERRIDE=1BF","CDR=US","Fill=p")-1,"")</f>
        <v>#VALUE!</v>
      </c>
      <c r="AO18" s="191" t="e">
        <f t="shared" ca="1" si="7"/>
        <v>#VALUE!</v>
      </c>
      <c r="AP18" s="191" t="str" cm="1">
        <f t="array" aca="1" ref="AP18" ca="1">IF(ISTEXT(B18),_xll.BDH(B18 &amp;  " Equity","BEST_EPS",$Q$3,$Q$3,"BEST_FPERIOD_OVERRIDE=1BF","CDR=US","Fill=p"),"")</f>
        <v>#N/A N/A</v>
      </c>
      <c r="AR18" s="189">
        <f ca="1">IF(ISTEXT(C18),AU18/_xll.BDH(C18 &amp;  " Equity","BEST_EPS",$AM$3,$AM$3,"BEST_FPERIOD_OVERRIDE=1BF","CDR=US","Fill=p")-1,"")</f>
        <v>3.5867667185804919E-3</v>
      </c>
      <c r="AS18" s="189">
        <f ca="1">IF(ISTEXT(C18),AU18/_xll.BDH(C18 &amp;  " Equity","BEST_EPS",$AN$3,$AN$3,"BEST_FPERIOD_OVERRIDE=1BF","CDR=US","Fill=p")-1,"")</f>
        <v>-1.340818409575939E-2</v>
      </c>
      <c r="AT18" s="191">
        <f t="shared" ca="1" si="8"/>
        <v>23.218434046555373</v>
      </c>
      <c r="AU18" s="191" cm="1">
        <f t="array" aca="1" ref="AU18" ca="1">IF(ISTEXT(C18),_xll.BDH(C18 &amp;  " Equity","BEST_EPS",$Q$3,$Q$3,"BEST_FPERIOD_OVERRIDE=1BF","CDR=US","Fill=p"),"")</f>
        <v>21.265000000000001</v>
      </c>
    </row>
    <row r="19" spans="1:47" s="6" customFormat="1">
      <c r="A19" s="6" t="str">
        <f>"."&amp;B19&amp;C19</f>
        <v>.XLF</v>
      </c>
      <c r="B19" s="258" t="s">
        <v>88</v>
      </c>
      <c r="C19" s="258"/>
      <c r="D19" s="257">
        <f>SUMIF(Tabelad[Ticker],PAIR_Monitor!B19,Tabelad[Exp %])-D17-D18</f>
        <v>5.2498699769772789E-4</v>
      </c>
      <c r="E19" s="257"/>
      <c r="F19" s="258"/>
      <c r="G19" s="238"/>
      <c r="H19" s="239"/>
      <c r="I19" s="238"/>
      <c r="J19" s="239"/>
      <c r="K19" s="240"/>
      <c r="L19" s="239"/>
      <c r="M19" s="239"/>
      <c r="N19" s="241"/>
      <c r="O19" s="242"/>
      <c r="P19" s="243"/>
      <c r="Q19" s="243"/>
      <c r="R19" s="239"/>
      <c r="S19" s="239"/>
      <c r="T19" s="239"/>
      <c r="U19" s="239"/>
      <c r="V19" s="239"/>
      <c r="W19" s="239"/>
      <c r="X19" s="243"/>
      <c r="Y19" s="244"/>
      <c r="Z19" s="245"/>
      <c r="AA19" s="244"/>
      <c r="AB19" s="245"/>
      <c r="AC19" s="244"/>
      <c r="AD19" s="239"/>
      <c r="AE19" s="239"/>
      <c r="AF19" s="246"/>
      <c r="AG19" s="246"/>
      <c r="AH19" s="247"/>
      <c r="AI19" s="247"/>
      <c r="AJ19" s="247"/>
      <c r="AK19" s="247"/>
      <c r="AM19" s="245"/>
      <c r="AN19" s="245"/>
      <c r="AO19" s="247"/>
      <c r="AP19" s="247"/>
      <c r="AR19" s="245"/>
      <c r="AS19" s="245"/>
      <c r="AT19" s="247"/>
      <c r="AU19" s="247"/>
    </row>
    <row r="20" spans="1:47" s="6" customFormat="1">
      <c r="A20" s="6" t="str">
        <f>"."&amp;B20&amp;C20</f>
        <v>.MP</v>
      </c>
      <c r="B20" s="258" t="s">
        <v>93</v>
      </c>
      <c r="C20" s="258"/>
      <c r="D20" s="257">
        <f>SUMIF(Tabelad[Ticker],PAIR_Monitor!B20,Tabelad[Exp %])</f>
        <v>0</v>
      </c>
      <c r="E20" s="257"/>
      <c r="F20" s="258"/>
      <c r="G20" s="238"/>
      <c r="H20" s="239"/>
      <c r="I20" s="238"/>
      <c r="J20" s="239"/>
      <c r="K20" s="240"/>
      <c r="L20" s="239"/>
      <c r="M20" s="239"/>
      <c r="N20" s="241"/>
      <c r="O20" s="242"/>
      <c r="P20" s="243"/>
      <c r="Q20" s="243"/>
      <c r="R20" s="239"/>
      <c r="S20" s="239"/>
      <c r="T20" s="239"/>
      <c r="U20" s="239"/>
      <c r="V20" s="239"/>
      <c r="W20" s="239"/>
      <c r="X20" s="243"/>
      <c r="Y20" s="244"/>
      <c r="Z20" s="245"/>
      <c r="AA20" s="244"/>
      <c r="AB20" s="245"/>
      <c r="AC20" s="244"/>
      <c r="AD20" s="239"/>
      <c r="AE20" s="239"/>
      <c r="AF20" s="246"/>
      <c r="AG20" s="246"/>
      <c r="AH20" s="247"/>
      <c r="AI20" s="247"/>
      <c r="AJ20" s="247"/>
      <c r="AK20" s="247"/>
      <c r="AM20" s="245"/>
      <c r="AN20" s="245"/>
      <c r="AO20" s="247"/>
      <c r="AP20" s="247"/>
      <c r="AR20" s="245"/>
      <c r="AS20" s="245"/>
      <c r="AT20" s="247"/>
      <c r="AU20" s="247"/>
    </row>
    <row r="21" spans="1:47" s="6" customFormat="1">
      <c r="A21" s="6" t="str">
        <f>"."&amp;B21&amp;C21</f>
        <v>.LYSDY</v>
      </c>
      <c r="B21" s="258" t="s">
        <v>92</v>
      </c>
      <c r="C21" s="258"/>
      <c r="D21" s="257">
        <f>SUMIF(Tabelad[Ticker],PAIR_Monitor!B21,Tabelad[Exp %])</f>
        <v>0</v>
      </c>
      <c r="E21" s="257"/>
      <c r="F21" s="258"/>
      <c r="G21" s="238"/>
      <c r="H21" s="239"/>
      <c r="I21" s="238"/>
      <c r="J21" s="239"/>
      <c r="K21" s="240"/>
      <c r="L21" s="239"/>
      <c r="M21" s="239"/>
      <c r="N21" s="241"/>
      <c r="O21" s="242"/>
      <c r="P21" s="243"/>
      <c r="Q21" s="243"/>
      <c r="R21" s="239"/>
      <c r="S21" s="239"/>
      <c r="T21" s="239"/>
      <c r="U21" s="239"/>
      <c r="V21" s="239"/>
      <c r="W21" s="239"/>
      <c r="X21" s="243"/>
      <c r="Y21" s="244"/>
      <c r="Z21" s="245"/>
      <c r="AA21" s="244"/>
      <c r="AB21" s="245"/>
      <c r="AC21" s="244"/>
      <c r="AD21" s="239"/>
      <c r="AE21" s="239"/>
      <c r="AF21" s="246"/>
      <c r="AG21" s="246"/>
      <c r="AH21" s="247"/>
      <c r="AI21" s="247"/>
      <c r="AJ21" s="247"/>
      <c r="AK21" s="247"/>
      <c r="AM21" s="245"/>
      <c r="AN21" s="245"/>
      <c r="AO21" s="247"/>
      <c r="AP21" s="247"/>
      <c r="AR21" s="245"/>
      <c r="AS21" s="245"/>
      <c r="AT21" s="247"/>
      <c r="AU21" s="247"/>
    </row>
    <row r="22" spans="1:47" s="6" customFormat="1">
      <c r="A22" s="6" t="str">
        <f>"."&amp;B22&amp;C22</f>
        <v>.GDX</v>
      </c>
      <c r="B22" s="258" t="s">
        <v>131</v>
      </c>
      <c r="C22" s="258"/>
      <c r="D22" s="257">
        <f>SUMIF(Tabelad[Ticker],PAIR_Monitor!B22,Tabelad[Exp %])</f>
        <v>0</v>
      </c>
      <c r="E22" s="257"/>
      <c r="F22" s="258"/>
      <c r="G22" s="238"/>
      <c r="H22" s="239"/>
      <c r="I22" s="238"/>
      <c r="J22" s="239"/>
      <c r="K22" s="240"/>
      <c r="L22" s="239"/>
      <c r="M22" s="239"/>
      <c r="N22" s="241"/>
      <c r="O22" s="242"/>
      <c r="P22" s="243"/>
      <c r="Q22" s="243"/>
      <c r="R22" s="239"/>
      <c r="S22" s="239"/>
      <c r="T22" s="239"/>
      <c r="U22" s="239"/>
      <c r="V22" s="239"/>
      <c r="W22" s="239"/>
      <c r="X22" s="243"/>
      <c r="Y22" s="244"/>
      <c r="Z22" s="245"/>
      <c r="AA22" s="244"/>
      <c r="AB22" s="245"/>
      <c r="AC22" s="244"/>
      <c r="AD22" s="239"/>
      <c r="AE22" s="239"/>
      <c r="AF22" s="246"/>
      <c r="AG22" s="246"/>
      <c r="AH22" s="247"/>
      <c r="AI22" s="247"/>
      <c r="AJ22" s="247"/>
      <c r="AK22" s="247"/>
      <c r="AM22" s="245"/>
      <c r="AN22" s="245"/>
      <c r="AO22" s="247"/>
      <c r="AP22" s="247"/>
      <c r="AR22" s="245"/>
      <c r="AS22" s="245"/>
      <c r="AT22" s="247"/>
      <c r="AU22" s="247"/>
    </row>
    <row r="23" spans="1:47" s="6" customFormat="1">
      <c r="A23" s="6" t="str">
        <f>"."&amp;B23&amp;C23</f>
        <v>.NEM</v>
      </c>
      <c r="B23" s="258" t="s">
        <v>132</v>
      </c>
      <c r="C23" s="258"/>
      <c r="D23" s="257">
        <f>SUMIF(Tabelad[Ticker],PAIR_Monitor!B23,Tabelad[Exp %])</f>
        <v>0</v>
      </c>
      <c r="E23" s="257"/>
      <c r="F23" s="258"/>
      <c r="G23" s="238"/>
      <c r="H23" s="239"/>
      <c r="I23" s="238"/>
      <c r="J23" s="239"/>
      <c r="K23" s="240"/>
      <c r="L23" s="239"/>
      <c r="M23" s="239"/>
      <c r="N23" s="241"/>
      <c r="O23" s="242"/>
      <c r="P23" s="243"/>
      <c r="Q23" s="243"/>
      <c r="R23" s="239"/>
      <c r="S23" s="239"/>
      <c r="T23" s="239"/>
      <c r="U23" s="239"/>
      <c r="V23" s="239"/>
      <c r="W23" s="239"/>
      <c r="X23" s="243"/>
      <c r="Y23" s="244"/>
      <c r="Z23" s="245"/>
      <c r="AA23" s="244"/>
      <c r="AB23" s="245"/>
      <c r="AC23" s="244"/>
      <c r="AD23" s="239"/>
      <c r="AE23" s="239"/>
      <c r="AF23" s="246"/>
      <c r="AG23" s="246"/>
      <c r="AH23" s="247"/>
      <c r="AI23" s="247"/>
      <c r="AJ23" s="247"/>
      <c r="AK23" s="247"/>
      <c r="AM23" s="245"/>
      <c r="AN23" s="245"/>
      <c r="AO23" s="247"/>
      <c r="AP23" s="247"/>
      <c r="AR23" s="245"/>
      <c r="AS23" s="245"/>
      <c r="AT23" s="247"/>
      <c r="AU23" s="247"/>
    </row>
    <row r="24" spans="1:47">
      <c r="B24" s="248"/>
      <c r="C24" s="248"/>
      <c r="D24" s="249"/>
      <c r="E24" s="249"/>
      <c r="F24" s="248"/>
      <c r="G24" s="182"/>
      <c r="H24" s="183"/>
      <c r="I24" s="182"/>
      <c r="J24" s="183"/>
      <c r="K24" s="184"/>
      <c r="L24" s="183"/>
      <c r="M24" s="183"/>
      <c r="N24" s="185"/>
      <c r="O24" s="186"/>
      <c r="P24" s="187"/>
      <c r="Q24" s="187"/>
      <c r="R24" s="183"/>
      <c r="S24" s="183"/>
      <c r="T24" s="183"/>
      <c r="U24" s="183"/>
      <c r="V24" s="183"/>
      <c r="W24" s="183"/>
      <c r="X24" s="187"/>
      <c r="Y24" s="188"/>
      <c r="Z24" s="189"/>
      <c r="AA24" s="188"/>
      <c r="AB24" s="189"/>
      <c r="AC24" s="188"/>
      <c r="AD24" s="183"/>
      <c r="AE24" s="183"/>
      <c r="AF24" s="190"/>
      <c r="AG24" s="190"/>
      <c r="AH24" s="191"/>
      <c r="AI24" s="191"/>
      <c r="AJ24" s="191"/>
      <c r="AK24" s="191"/>
      <c r="AM24" s="189"/>
      <c r="AN24" s="189"/>
      <c r="AO24" s="191"/>
      <c r="AP24" s="191"/>
      <c r="AR24" s="189"/>
      <c r="AS24" s="189"/>
      <c r="AT24" s="191"/>
      <c r="AU24" s="191"/>
    </row>
    <row r="25" spans="1:47">
      <c r="B25" s="248"/>
      <c r="C25" s="248"/>
      <c r="D25" s="249"/>
      <c r="E25" s="249"/>
      <c r="F25" s="248"/>
      <c r="G25" s="182"/>
      <c r="H25" s="183"/>
      <c r="I25" s="182"/>
      <c r="J25" s="183"/>
      <c r="K25" s="184"/>
      <c r="L25" s="183"/>
      <c r="M25" s="183"/>
      <c r="N25" s="185"/>
      <c r="O25" s="186"/>
      <c r="P25" s="187"/>
      <c r="Q25" s="187"/>
      <c r="R25" s="183"/>
      <c r="S25" s="183"/>
      <c r="T25" s="183"/>
      <c r="U25" s="183"/>
      <c r="V25" s="183"/>
      <c r="W25" s="183"/>
      <c r="X25" s="187"/>
      <c r="Y25" s="188"/>
      <c r="Z25" s="189"/>
      <c r="AA25" s="188"/>
      <c r="AB25" s="189"/>
      <c r="AC25" s="188"/>
      <c r="AD25" s="183"/>
      <c r="AE25" s="183"/>
      <c r="AF25" s="190"/>
      <c r="AG25" s="190"/>
      <c r="AH25" s="191"/>
      <c r="AI25" s="191"/>
      <c r="AJ25" s="191"/>
      <c r="AK25" s="191"/>
      <c r="AM25" s="189"/>
      <c r="AN25" s="189"/>
      <c r="AO25" s="191"/>
      <c r="AP25" s="191"/>
      <c r="AR25" s="189"/>
      <c r="AS25" s="189"/>
      <c r="AT25" s="191"/>
      <c r="AU25" s="191"/>
    </row>
    <row r="26" spans="1:47" s="6" customFormat="1">
      <c r="B26" s="236"/>
      <c r="C26" s="236"/>
      <c r="D26" s="237"/>
      <c r="E26" s="237"/>
      <c r="F26" s="236"/>
      <c r="G26" s="238"/>
      <c r="H26" s="239"/>
      <c r="I26" s="238"/>
      <c r="J26" s="239"/>
      <c r="K26" s="240"/>
      <c r="L26" s="239"/>
      <c r="M26" s="239"/>
      <c r="N26" s="241"/>
      <c r="O26" s="242"/>
      <c r="P26" s="243"/>
      <c r="Q26" s="243"/>
      <c r="R26" s="239"/>
      <c r="S26" s="239"/>
      <c r="T26" s="239"/>
      <c r="U26" s="239"/>
      <c r="V26" s="239"/>
      <c r="W26" s="239"/>
      <c r="X26" s="243"/>
      <c r="Y26" s="244"/>
      <c r="Z26" s="245"/>
      <c r="AA26" s="244"/>
      <c r="AB26" s="245"/>
      <c r="AC26" s="244"/>
      <c r="AD26" s="239"/>
      <c r="AE26" s="239"/>
      <c r="AF26" s="246"/>
      <c r="AG26" s="246"/>
      <c r="AH26" s="247"/>
      <c r="AI26" s="247"/>
      <c r="AJ26" s="247"/>
      <c r="AK26" s="247"/>
      <c r="AM26" s="245"/>
      <c r="AN26" s="245"/>
      <c r="AO26" s="247"/>
      <c r="AP26" s="247"/>
      <c r="AR26" s="245"/>
      <c r="AS26" s="245"/>
      <c r="AT26" s="247"/>
      <c r="AU26" s="247"/>
    </row>
    <row r="27" spans="1:47" s="6" customFormat="1">
      <c r="B27" s="181"/>
      <c r="C27" s="181"/>
      <c r="D27" s="235"/>
      <c r="E27" s="237"/>
      <c r="F27" s="236"/>
      <c r="G27" s="238"/>
      <c r="H27" s="239"/>
      <c r="I27" s="238"/>
      <c r="J27" s="239"/>
      <c r="K27" s="240"/>
      <c r="L27" s="239"/>
      <c r="M27" s="239"/>
      <c r="N27" s="241"/>
      <c r="O27" s="242"/>
      <c r="P27" s="243"/>
      <c r="Q27" s="243"/>
      <c r="R27" s="239"/>
      <c r="S27" s="239"/>
      <c r="T27" s="239"/>
      <c r="U27" s="239"/>
      <c r="V27" s="239"/>
      <c r="W27" s="239"/>
      <c r="X27" s="243"/>
      <c r="Y27" s="244"/>
      <c r="Z27" s="245"/>
      <c r="AA27" s="244"/>
      <c r="AB27" s="245"/>
      <c r="AC27" s="244"/>
      <c r="AD27" s="239"/>
      <c r="AE27" s="239"/>
      <c r="AF27" s="246"/>
      <c r="AG27" s="246"/>
      <c r="AH27" s="247"/>
      <c r="AI27" s="247"/>
      <c r="AJ27" s="247"/>
      <c r="AK27" s="247"/>
      <c r="AM27" s="245"/>
      <c r="AN27" s="245"/>
      <c r="AO27" s="247"/>
      <c r="AP27" s="247"/>
      <c r="AR27" s="245"/>
      <c r="AS27" s="245"/>
      <c r="AT27" s="247"/>
      <c r="AU27" s="247"/>
    </row>
    <row r="28" spans="1:47" s="6" customFormat="1">
      <c r="B28" s="181"/>
      <c r="C28" s="181"/>
      <c r="D28" s="235"/>
      <c r="E28" s="237"/>
      <c r="F28" s="236"/>
      <c r="G28" s="238"/>
      <c r="H28" s="239"/>
      <c r="I28" s="238"/>
      <c r="J28" s="239"/>
      <c r="K28" s="240"/>
      <c r="L28" s="239"/>
      <c r="M28" s="239"/>
      <c r="N28" s="241"/>
      <c r="O28" s="242"/>
      <c r="P28" s="243"/>
      <c r="Q28" s="243"/>
      <c r="R28" s="239"/>
      <c r="S28" s="239"/>
      <c r="T28" s="239"/>
      <c r="U28" s="239"/>
      <c r="V28" s="239"/>
      <c r="W28" s="239"/>
      <c r="X28" s="243"/>
      <c r="Y28" s="244"/>
      <c r="Z28" s="245"/>
      <c r="AA28" s="244"/>
      <c r="AB28" s="245"/>
      <c r="AC28" s="244"/>
      <c r="AD28" s="239"/>
      <c r="AE28" s="239"/>
      <c r="AF28" s="246"/>
      <c r="AG28" s="246"/>
      <c r="AH28" s="247"/>
      <c r="AI28" s="247"/>
      <c r="AJ28" s="247"/>
      <c r="AK28" s="247"/>
      <c r="AM28" s="245"/>
      <c r="AN28" s="245"/>
      <c r="AO28" s="247"/>
      <c r="AP28" s="247"/>
      <c r="AR28" s="245"/>
      <c r="AS28" s="245"/>
      <c r="AT28" s="247"/>
      <c r="AU28" s="247"/>
    </row>
    <row r="29" spans="1:47">
      <c r="A29" t="str">
        <f>"."&amp;B29&amp;C29</f>
        <v>.BPTTE</v>
      </c>
      <c r="B29" s="181" t="s">
        <v>1678</v>
      </c>
      <c r="C29" s="181" t="s">
        <v>1680</v>
      </c>
      <c r="D29" s="181"/>
      <c r="E29" s="181"/>
      <c r="F29" s="181"/>
      <c r="G29" s="182" cm="1">
        <f t="array" ref="G29">_xll.BDP(B29&amp;" Equity","LAST PRICE")</f>
        <v>38.82</v>
      </c>
      <c r="H29" s="183" cm="1">
        <f t="array" ref="H29">G29/_xll.BDP(B29&amp;" Equity", "PREV_CLOSE_VAL")-1</f>
        <v>2.9708222811670959E-2</v>
      </c>
      <c r="I29" s="182" cm="1">
        <f t="array" ref="I29">_xll.BDP(C29&amp;" Equity","LAST PRICE")</f>
        <v>74.42</v>
      </c>
      <c r="J29" s="183" cm="1">
        <f t="array" ref="J29">I29/_xll.BDP(C29&amp;" Equity", "PREV_CLOSE_VAL")-1</f>
        <v>3.5336672231496946E-2</v>
      </c>
      <c r="K29" s="184">
        <f t="shared" ref="K29:K41" si="9">G29/I29</f>
        <v>0.52163396936307438</v>
      </c>
      <c r="L29" s="183" cm="1">
        <f t="array" ref="L29">K29/(_xll.BDP(B29&amp;" Equity", "PREV_CLOSE_VAL")/_xll.BDP(C29&amp;" Equity", "PREV_CLOSE_VAL"))-1</f>
        <v>-5.4363470074858533E-3</v>
      </c>
      <c r="M29" s="183"/>
      <c r="N29" s="185">
        <f t="shared" ref="N29:N41" si="10">ABS(L29/O29)</f>
        <v>0.67261747155198937</v>
      </c>
      <c r="O29" s="186">
        <f>P29/15.87/100</f>
        <v>8.082375551354758E-3</v>
      </c>
      <c r="P29" s="187" cm="1">
        <f t="array" ref="P29">_xll.BDP($A29&amp;" Index","VOLATILITY_30D")</f>
        <v>12.82673</v>
      </c>
      <c r="Q29" s="187" cm="1">
        <f t="array" aca="1" ref="Q29" ca="1">(_xll.BDP(($B29&amp; " Equity"),"CORR_COEF", "BETA_OVERRIDE_REL_INDEX",($C29&amp; " Equity"),"BETA_OVERRIDE_END_DT",$Q$5,"BETA_OVERRIDE_START_DT",$Q$4))*100</f>
        <v>57.132811923834524</v>
      </c>
      <c r="R29" s="183"/>
      <c r="S29" s="183" cm="1">
        <f t="array" ref="S29">_xll.BDP($A29&amp;" Index","CHG_PCT_2D")/100</f>
        <v>2.3042620000000001E-3</v>
      </c>
      <c r="T29" s="183" cm="1">
        <f t="array" ref="T29">_xll.BDP($A29&amp;" Index","CHG_PCT_5D")/100</f>
        <v>7.2820480000000004E-4</v>
      </c>
      <c r="U29" s="183" cm="1">
        <f t="array" ref="U29">K29/_xll.BDP($A29&amp;" Index","HIGH_52WEEK")-1</f>
        <v>-0.12036227152480672</v>
      </c>
      <c r="V29" s="183" cm="1">
        <f t="array" ref="V29">K29/_xll.BDP($A29&amp;" Index","LOW_52WEEK")-1</f>
        <v>0.10569550705444253</v>
      </c>
      <c r="W29" s="183"/>
      <c r="X29" s="187" cm="1">
        <f t="array" ref="X29">_xll.BDP($A29&amp;" Index","RSI_14D")</f>
        <v>43.28781</v>
      </c>
      <c r="Y29" s="188"/>
      <c r="Z29" s="189">
        <f t="shared" ref="Z29:Z41" si="11">Y29/K29-1</f>
        <v>-1</v>
      </c>
      <c r="AA29" s="188"/>
      <c r="AB29" s="189">
        <f t="shared" ref="AB29:AB41" si="12">AA29/K29-1</f>
        <v>-1</v>
      </c>
      <c r="AC29" s="188"/>
      <c r="AD29" s="183" t="e">
        <f t="shared" ref="AD29:AD41" si="13">K29/AC29-1</f>
        <v>#DIV/0!</v>
      </c>
      <c r="AE29" s="183"/>
      <c r="AF29" s="190">
        <f>IF(ISTEXT(B29),_xll.BDP(B29 &amp; " Equity","EXPECTED_REPORT_DT")*1,"")</f>
        <v>46063</v>
      </c>
      <c r="AG29" s="190">
        <f>IF(ISTEXT(C29),_xll.BDP(C29 &amp; " Equity","EXPECTED_REPORT_DT")*1,"")</f>
        <v>46064</v>
      </c>
      <c r="AH29" s="191" cm="1">
        <f t="array" ref="AH29">(_xll.BDP(B29&amp;" Equity","SHORT_INT")/_xll.BDP(B29&amp;" Equity","VOLUME_AVG_90D"))</f>
        <v>1.6413778952295679</v>
      </c>
      <c r="AI29" s="191" cm="1">
        <f t="array" ref="AI29">(_xll.BDP(C29&amp;" Equity","SHORT_INT")/_xll.BDP(C29&amp;" Equity","VOLUME_AVG_90D"))</f>
        <v>10.291696993938917</v>
      </c>
      <c r="AJ29" s="191" t="e" cm="1">
        <f t="array" ref="AJ29">(_xll.BDP(B29&amp;" Equity","SHORT_INT"))/((_xll.BDP(B29&amp;" Equity","EQY_FREE_FLOAT_PCT"))*(_xll.BDP(B29&amp;" Equity","EQY_SH_OUT_TOT_MULT_SH")))/100</f>
        <v>#VALUE!</v>
      </c>
      <c r="AK29" s="191" cm="1">
        <f t="array" ref="AK29">(_xll.BDP(C29&amp;" Equity","SHORT_INT"))/((_xll.BDP(C29&amp;" Equity","EQY_FREE_FLOAT_PCT"))*(_xll.BDP(C29&amp;" Equity","EQY_SH_OUT_TOT_MULT_SH")))/100</f>
        <v>0.27300859541145506</v>
      </c>
      <c r="AM29" s="189">
        <f ca="1">IF(ISTEXT(B29),AP29/_xll.BDH(B29 &amp;  " Equity","BEST_EPS",$AM$3,$AM$3,"BEST_FPERIOD_OVERRIDE=1BF","CDR=US","Fill=p")-1,"")</f>
        <v>-5.2283025444406217E-3</v>
      </c>
      <c r="AN29" s="189">
        <f ca="1">IF(ISTEXT(B29),AP29/_xll.BDH(B29 &amp;  " Equity","BEST_EPS",$AN$3,$AN$3,"BEST_FPERIOD_OVERRIDE=1BF","CDR=US","Fill=p")-1,"")</f>
        <v>-1.2114918656974671E-2</v>
      </c>
      <c r="AO29" s="191">
        <f t="shared" ref="AO29:AO41" ca="1" si="14">G29/AP29</f>
        <v>13.601962158374212</v>
      </c>
      <c r="AP29" s="191" cm="1">
        <f t="array" aca="1" ref="AP29" ca="1">IF(ISTEXT(B29),_xll.BDH(B29 &amp;  " Equity","BEST_EPS",$Q$3,$Q$3,"BEST_FPERIOD_OVERRIDE=1BF","CDR=US","Fill=p"),"")</f>
        <v>2.8540000000000001</v>
      </c>
      <c r="AR29" s="189">
        <f ca="1">IF(ISTEXT(C29),AU29/_xll.BDH(C29 &amp;  " Equity","BEST_EPS",$AM$3,$AM$3,"BEST_FPERIOD_OVERRIDE=1BF","CDR=US","Fill=p")-1,"")</f>
        <v>-3.8667459845329599E-3</v>
      </c>
      <c r="AS29" s="189">
        <f ca="1">IF(ISTEXT(C29),AU29/_xll.BDH(C29 &amp;  " Equity","BEST_EPS",$AN$3,$AN$3,"BEST_FPERIOD_OVERRIDE=1BF","CDR=US","Fill=p")-1,"")</f>
        <v>-3.7367059499856303E-2</v>
      </c>
      <c r="AT29" s="191">
        <f t="shared" ref="AT29:AT41" ca="1" si="15">I29/AU29</f>
        <v>11.110779337115556</v>
      </c>
      <c r="AU29" s="191" cm="1">
        <f t="array" aca="1" ref="AU29" ca="1">IF(ISTEXT(C29),_xll.BDH(C29 &amp;  " Equity","BEST_EPS",$Q$3,$Q$3,"BEST_FPERIOD_OVERRIDE=1BF","CDR=US","Fill=p"),"")</f>
        <v>6.6980000000000004</v>
      </c>
    </row>
    <row r="30" spans="1:47">
      <c r="A30" t="str">
        <f>"."&amp;B30&amp;C30</f>
        <v>.BPSHEL</v>
      </c>
      <c r="B30" s="181" t="s">
        <v>1678</v>
      </c>
      <c r="C30" s="181" t="s">
        <v>1679</v>
      </c>
      <c r="D30" s="181"/>
      <c r="E30" s="181"/>
      <c r="F30" s="181"/>
      <c r="G30" s="182" cm="1">
        <f t="array" ref="G30">_xll.BDP(B30&amp;" Equity","LAST PRICE")</f>
        <v>38.82</v>
      </c>
      <c r="H30" s="183" cm="1">
        <f t="array" ref="H30">G30/_xll.BDP(B30&amp;" Equity", "PREV_CLOSE_VAL")-1</f>
        <v>2.9708222811670959E-2</v>
      </c>
      <c r="I30" s="182" cm="1">
        <f t="array" ref="I30">_xll.BDP(C30&amp;" Equity","LAST PRICE")</f>
        <v>77.63</v>
      </c>
      <c r="J30" s="183" cm="1">
        <f t="array" ref="J30">I30/_xll.BDP(C30&amp;" Equity", "PREV_CLOSE_VAL")-1</f>
        <v>2.5089132444209516E-2</v>
      </c>
      <c r="K30" s="184">
        <f t="shared" si="9"/>
        <v>0.50006440808965613</v>
      </c>
      <c r="L30" s="183" cm="1">
        <f t="array" ref="L30">K30/(_xll.BDP(B30&amp;" Equity", "PREV_CLOSE_VAL")/_xll.BDP(C30&amp;" Equity", "PREV_CLOSE_VAL"))-1</f>
        <v>4.5060377885850489E-3</v>
      </c>
      <c r="M30" s="183"/>
      <c r="N30" s="185">
        <f>ABS(L30/O30)</f>
        <v>0.44956131783164882</v>
      </c>
      <c r="O30" s="186">
        <f>P30/15.87/100</f>
        <v>1.0023188405797103E-2</v>
      </c>
      <c r="P30" s="187" cm="1">
        <f t="array" ref="P30">_xll.BDP($A30&amp;" Index","VOLATILITY_30D")</f>
        <v>15.9068</v>
      </c>
      <c r="Q30" s="187" cm="1">
        <f t="array" aca="1" ref="Q30" ca="1">(_xll.BDP(($B30&amp; " Equity"),"CORR_COEF", "BETA_OVERRIDE_REL_INDEX",($C30&amp; " Equity"),"BETA_OVERRIDE_END_DT",$Q$5,"BETA_OVERRIDE_START_DT",$Q$4))*100</f>
        <v>76.280253473142807</v>
      </c>
      <c r="R30" s="183"/>
      <c r="S30" s="183" cm="1">
        <f t="array" ref="S30">_xll.BDP($A30&amp;" Index","CHG_PCT_2D")/100</f>
        <v>1.729209E-2</v>
      </c>
      <c r="T30" s="183" cm="1">
        <f t="array" ref="T30">_xll.BDP($A30&amp;" Index","CHG_PCT_5D")/100</f>
        <v>3.3126200000000001E-3</v>
      </c>
      <c r="U30" s="183" cm="1">
        <f t="array" ref="U30">K30/_xll.BDP($A30&amp;" Index","HIGH_52WEEK")-1</f>
        <v>-4.0883025644144033E-2</v>
      </c>
      <c r="V30" s="183" cm="1">
        <f t="array" ref="V30">K30/_xll.BDP($A30&amp;" Index","LOW_52WEEK")-1</f>
        <v>0.1850709957808756</v>
      </c>
      <c r="W30" s="183"/>
      <c r="X30" s="187" cm="1">
        <f t="array" ref="X30">_xll.BDP($A30&amp;" Index","RSI_14D")</f>
        <v>61.039549999999998</v>
      </c>
      <c r="Y30" s="188"/>
      <c r="Z30" s="189">
        <f t="shared" si="11"/>
        <v>-1</v>
      </c>
      <c r="AA30" s="188"/>
      <c r="AB30" s="189">
        <f t="shared" si="12"/>
        <v>-1</v>
      </c>
      <c r="AC30" s="188"/>
      <c r="AD30" s="183" t="e">
        <f t="shared" si="13"/>
        <v>#DIV/0!</v>
      </c>
      <c r="AE30" s="183"/>
      <c r="AF30" s="190">
        <f>IF(ISTEXT(B30),_xll.BDP(B30 &amp; " Equity","EXPECTED_REPORT_DT")*1,"")</f>
        <v>46063</v>
      </c>
      <c r="AG30" s="190">
        <f>IF(ISTEXT(C30),_xll.BDP(C30 &amp; " Equity","EXPECTED_REPORT_DT")*1,"")</f>
        <v>46058</v>
      </c>
      <c r="AH30" s="191" cm="1">
        <f t="array" ref="AH30">(_xll.BDP(B30&amp;" Equity","SHORT_INT")/_xll.BDP(B30&amp;" Equity","VOLUME_AVG_90D"))</f>
        <v>1.6413778952295679</v>
      </c>
      <c r="AI30" s="191" cm="1">
        <f t="array" ref="AI30">(_xll.BDP(C30&amp;" Equity","SHORT_INT")/_xll.BDP(C30&amp;" Equity","VOLUME_AVG_90D"))</f>
        <v>2.8135605629930223</v>
      </c>
      <c r="AJ30" s="191" t="e" cm="1">
        <f t="array" ref="AJ30">(_xll.BDP(B30&amp;" Equity","SHORT_INT"))/((_xll.BDP(B30&amp;" Equity","EQY_FREE_FLOAT_PCT"))*(_xll.BDP(B30&amp;" Equity","EQY_SH_OUT_TOT_MULT_SH")))/100</f>
        <v>#VALUE!</v>
      </c>
      <c r="AK30" s="191" t="e" cm="1">
        <f t="array" ref="AK30">(_xll.BDP(C30&amp;" Equity","SHORT_INT"))/((_xll.BDP(C30&amp;" Equity","EQY_FREE_FLOAT_PCT"))*(_xll.BDP(C30&amp;" Equity","EQY_SH_OUT_TOT_MULT_SH")))/100</f>
        <v>#VALUE!</v>
      </c>
      <c r="AM30" s="189">
        <f ca="1">IF(ISTEXT(B30),AP30/_xll.BDH(B30 &amp;  " Equity","BEST_EPS",$AM$3,$AM$3,"BEST_FPERIOD_OVERRIDE=1BF","CDR=US","Fill=p")-1,"")</f>
        <v>-5.2283025444406217E-3</v>
      </c>
      <c r="AN30" s="189">
        <f ca="1">IF(ISTEXT(B30),AP30/_xll.BDH(B30 &amp;  " Equity","BEST_EPS",$AN$3,$AN$3,"BEST_FPERIOD_OVERRIDE=1BF","CDR=US","Fill=p")-1,"")</f>
        <v>-1.2114918656974671E-2</v>
      </c>
      <c r="AO30" s="191">
        <f t="shared" ca="1" si="14"/>
        <v>13.601962158374212</v>
      </c>
      <c r="AP30" s="191" cm="1">
        <f t="array" aca="1" ref="AP30" ca="1">IF(ISTEXT(B30),_xll.BDH(B30 &amp;  " Equity","BEST_EPS",$Q$3,$Q$3,"BEST_FPERIOD_OVERRIDE=1BF","CDR=US","Fill=p"),"")</f>
        <v>2.8540000000000001</v>
      </c>
      <c r="AR30" s="189">
        <f ca="1">IF(ISTEXT(C30),AU30/_xll.BDH(C30 &amp;  " Equity","BEST_EPS",$AM$3,$AM$3,"BEST_FPERIOD_OVERRIDE=1BF","CDR=US","Fill=p")-1,"")</f>
        <v>2.6084173467754823E-2</v>
      </c>
      <c r="AS30" s="189">
        <f ca="1">IF(ISTEXT(C30),AU30/_xll.BDH(C30 &amp;  " Equity","BEST_EPS",$AN$3,$AN$3,"BEST_FPERIOD_OVERRIDE=1BF","CDR=US","Fill=p")-1,"")</f>
        <v>-2.1815408085430921E-2</v>
      </c>
      <c r="AT30" s="191">
        <f t="shared" ca="1" si="15"/>
        <v>12.106986899563319</v>
      </c>
      <c r="AU30" s="191" cm="1">
        <f t="array" aca="1" ref="AU30" ca="1">IF(ISTEXT(C30),_xll.BDH(C30 &amp;  " Equity","BEST_EPS",$Q$3,$Q$3,"BEST_FPERIOD_OVERRIDE=1BF","CDR=US","Fill=p"),"")</f>
        <v>6.4119999999999999</v>
      </c>
    </row>
    <row r="31" spans="1:47">
      <c r="A31" t="str">
        <f>"."&amp;B31&amp;C31</f>
        <v>.CRMQQQ</v>
      </c>
      <c r="B31" s="181" t="s">
        <v>134</v>
      </c>
      <c r="C31" s="181" t="s">
        <v>135</v>
      </c>
      <c r="D31" s="181"/>
      <c r="E31" s="181"/>
      <c r="F31" s="181"/>
      <c r="G31" s="182" cm="1">
        <f t="array" ref="G31">_xll.BDP(B31&amp;" Equity","LAST PRICE")</f>
        <v>196.38</v>
      </c>
      <c r="H31" s="183" cm="1">
        <f t="array" ref="H31">G31/_xll.BDP(B31&amp;" Equity", "PREV_CLOSE_VAL")-1</f>
        <v>-6.8450263270243394E-2</v>
      </c>
      <c r="I31" s="182" cm="1">
        <f t="array" ref="I31">_xll.BDP(C31&amp;" Equity","LAST PRICE")</f>
        <v>616.52</v>
      </c>
      <c r="J31" s="183" cm="1">
        <f t="array" ref="J31">I31/_xll.BDP(C31&amp;" Equity", "PREV_CLOSE_VAL")-1</f>
        <v>-1.536397610757978E-2</v>
      </c>
      <c r="K31" s="184">
        <f t="shared" si="9"/>
        <v>0.31852981249594498</v>
      </c>
      <c r="L31" s="183" cm="1">
        <f t="array" ref="L31">K31/(_xll.BDP(B31&amp;" Equity", "PREV_CLOSE_VAL")/_xll.BDP(C31&amp;" Equity", "PREV_CLOSE_VAL"))-1</f>
        <v>-5.3914630253730889E-2</v>
      </c>
      <c r="M31" s="183"/>
      <c r="N31" s="185">
        <f t="shared" si="10"/>
        <v>2.3415996139230471</v>
      </c>
      <c r="O31" s="186">
        <f>P31/15.87/100</f>
        <v>2.3024700693131693E-2</v>
      </c>
      <c r="P31" s="187" cm="1">
        <f t="array" ref="P31">_xll.BDP($A31&amp;" Index","VOLATILITY_30D")</f>
        <v>36.540199999999999</v>
      </c>
      <c r="Q31" s="187" cm="1">
        <f t="array" aca="1" ref="Q31" ca="1">(_xll.BDP(($B31&amp; " Equity"),"CORR_COEF", "BETA_OVERRIDE_REL_INDEX",($C31&amp; " Equity"),"BETA_OVERRIDE_END_DT",$Q$5,"BETA_OVERRIDE_START_DT",$Q$4))*100</f>
        <v>45.242338052397706</v>
      </c>
      <c r="R31" s="183"/>
      <c r="S31" s="183" cm="1">
        <f t="array" ref="S31">_xll.BDP($A31&amp;" Index","CHG_PCT_2D")/100</f>
        <v>-6.7531880000000002E-2</v>
      </c>
      <c r="T31" s="183" cm="1">
        <f t="array" ref="T31">_xll.BDP($A31&amp;" Index","CHG_PCT_5D")/100</f>
        <v>-0.12089759999999999</v>
      </c>
      <c r="U31" s="183" cm="1">
        <f t="array" ref="U31">K31/_xll.BDP($A31&amp;" Index","HIGH_52WEEK")-1</f>
        <v>-0.51767139234411719</v>
      </c>
      <c r="V31" s="183" cm="1">
        <f t="array" ref="V31">K31/_xll.BDP($A31&amp;" Index","LOW_52WEEK")-1</f>
        <v>-5.3909313009549154E-2</v>
      </c>
      <c r="W31" s="183"/>
      <c r="X31" s="187" cm="1">
        <f t="array" ref="X31">_xll.BDP($A31&amp;" Index","RSI_14D")</f>
        <v>22.694749999999999</v>
      </c>
      <c r="Y31" s="188"/>
      <c r="Z31" s="189">
        <f t="shared" si="11"/>
        <v>-1</v>
      </c>
      <c r="AA31" s="188"/>
      <c r="AB31" s="189">
        <f t="shared" si="12"/>
        <v>-1</v>
      </c>
      <c r="AC31" s="188"/>
      <c r="AD31" s="183" t="e">
        <f t="shared" si="13"/>
        <v>#DIV/0!</v>
      </c>
      <c r="AE31" s="183"/>
      <c r="AF31" s="190">
        <f>IF(ISTEXT(B31),_xll.BDP(B31 &amp; " Equity","EXPECTED_REPORT_DT")*1,"")</f>
        <v>46079</v>
      </c>
      <c r="AG31" s="190" t="e">
        <f>IF(ISTEXT(C31),_xll.BDP(C31 &amp; " Equity","EXPECTED_REPORT_DT")*1,"")</f>
        <v>#VALUE!</v>
      </c>
      <c r="AH31" s="191" cm="1">
        <f t="array" ref="AH31">(_xll.BDP(B31&amp;" Equity","SHORT_INT")/_xll.BDP(B31&amp;" Equity","VOLUME_AVG_90D"))</f>
        <v>2.1419161992846121</v>
      </c>
      <c r="AI31" s="191" cm="1">
        <f t="array" ref="AI31">(_xll.BDP(C31&amp;" Equity","SHORT_INT")/_xll.BDP(C31&amp;" Equity","VOLUME_AVG_90D"))</f>
        <v>0.80858183712713494</v>
      </c>
      <c r="AJ31" s="191" cm="1">
        <f t="array" ref="AJ31">(_xll.BDP(B31&amp;" Equity","SHORT_INT"))/((_xll.BDP(B31&amp;" Equity","EQY_FREE_FLOAT_PCT"))*(_xll.BDP(B31&amp;" Equity","EQY_SH_OUT_TOT_MULT_SH")))/100</f>
        <v>1.9956927649943825</v>
      </c>
      <c r="AK31" s="191" t="e" cm="1">
        <f t="array" ref="AK31">(_xll.BDP(C31&amp;" Equity","SHORT_INT"))/((_xll.BDP(C31&amp;" Equity","EQY_FREE_FLOAT_PCT"))*(_xll.BDP(C31&amp;" Equity","EQY_SH_OUT_TOT_MULT_SH")))/100</f>
        <v>#VALUE!</v>
      </c>
      <c r="AM31" s="189">
        <f ca="1">IF(ISTEXT(B31),AP31/_xll.BDH(B31 &amp;  " Equity","BEST_EPS",$AM$3,$AM$3,"BEST_FPERIOD_OVERRIDE=1BF","CDR=US","Fill=p")-1,"")</f>
        <v>1.2462726508142952E-2</v>
      </c>
      <c r="AN31" s="189">
        <f ca="1">IF(ISTEXT(B31),AP31/_xll.BDH(B31 &amp;  " Equity","BEST_EPS",$AN$3,$AN$3,"BEST_FPERIOD_OVERRIDE=1BF","CDR=US","Fill=p")-1,"")</f>
        <v>6.7989353980159928E-2</v>
      </c>
      <c r="AO31" s="191">
        <f t="shared" ca="1" si="14"/>
        <v>14.830086089714543</v>
      </c>
      <c r="AP31" s="191" cm="1">
        <f t="array" aca="1" ref="AP31" ca="1">IF(ISTEXT(B31),_xll.BDH(B31 &amp;  " Equity","BEST_EPS",$Q$3,$Q$3,"BEST_FPERIOD_OVERRIDE=1BF","CDR=US","Fill=p"),"")</f>
        <v>13.242000000000001</v>
      </c>
      <c r="AR31" s="189" t="e">
        <f ca="1">IF(ISTEXT(C31),AU31/_xll.BDH(C31 &amp;  " Equity","BEST_EPS",$AM$3,$AM$3,"BEST_FPERIOD_OVERRIDE=1BF","CDR=US","Fill=p")-1,"")</f>
        <v>#VALUE!</v>
      </c>
      <c r="AS31" s="189" t="e">
        <f ca="1">IF(ISTEXT(C31),AU31/_xll.BDH(C31 &amp;  " Equity","BEST_EPS",$AN$3,$AN$3,"BEST_FPERIOD_OVERRIDE=1BF","CDR=US","Fill=p")-1,"")</f>
        <v>#VALUE!</v>
      </c>
      <c r="AT31" s="191" t="e">
        <f t="shared" ca="1" si="15"/>
        <v>#VALUE!</v>
      </c>
      <c r="AU31" s="191" t="str" cm="1">
        <f t="array" aca="1" ref="AU31" ca="1">IF(ISTEXT(C31),_xll.BDH(C31 &amp;  " Equity","BEST_EPS",$Q$3,$Q$3,"BEST_FPERIOD_OVERRIDE=1BF","CDR=US","Fill=p"),"")</f>
        <v>#N/A N/A</v>
      </c>
    </row>
    <row r="32" spans="1:47">
      <c r="A32" t="str">
        <f t="shared" ref="A32:A38" si="16">"."&amp;B32&amp;C32</f>
        <v>.CRMIGV</v>
      </c>
      <c r="B32" s="181" t="s">
        <v>134</v>
      </c>
      <c r="C32" s="181" t="s">
        <v>89</v>
      </c>
      <c r="D32" s="181"/>
      <c r="E32" s="181"/>
      <c r="F32" s="181"/>
      <c r="G32" s="182" cm="1">
        <f t="array" ref="G32">_xll.BDP(B32&amp;" Equity","LAST PRICE")</f>
        <v>196.38</v>
      </c>
      <c r="H32" s="183" cm="1">
        <f t="array" ref="H32">G32/_xll.BDP(B32&amp;" Equity", "PREV_CLOSE_VAL")-1</f>
        <v>-6.8450263270243394E-2</v>
      </c>
      <c r="I32" s="182" cm="1">
        <f t="array" ref="I32">_xll.BDP(C32&amp;" Equity","LAST PRICE")</f>
        <v>85.39</v>
      </c>
      <c r="J32" s="183" cm="1">
        <f t="array" ref="J32">I32/_xll.BDP(C32&amp;" Equity", "PREV_CLOSE_VAL")-1</f>
        <v>-4.6134941912421734E-2</v>
      </c>
      <c r="K32" s="184">
        <f t="shared" si="9"/>
        <v>2.2998009134559081</v>
      </c>
      <c r="L32" s="183" cm="1">
        <f t="array" ref="L32">K32/(_xll.BDP(B32&amp;" Equity", "PREV_CLOSE_VAL")/_xll.BDP(C32&amp;" Equity", "PREV_CLOSE_VAL"))-1</f>
        <v>-2.3394631314582415E-2</v>
      </c>
      <c r="M32" s="183"/>
      <c r="N32" s="185">
        <f t="shared" si="10"/>
        <v>1.6302836012649033</v>
      </c>
      <c r="O32" s="186">
        <f t="shared" ref="O32:O55" si="17">P32/15.87/100</f>
        <v>1.4350037807183367E-2</v>
      </c>
      <c r="P32" s="187" cm="1">
        <f t="array" ref="P32">_xll.BDP($A32&amp;" Index","VOLATILITY_30D")</f>
        <v>22.773510000000002</v>
      </c>
      <c r="Q32" s="187" cm="1">
        <f t="array" aca="1" ref="Q32" ca="1">(_xll.BDP(($B32&amp; " Equity"),"CORR_COEF", "BETA_OVERRIDE_REL_INDEX",($C32&amp; " Equity"),"BETA_OVERRIDE_END_DT",$Q$5,"BETA_OVERRIDE_START_DT",$Q$4))*100</f>
        <v>78.540902551188267</v>
      </c>
      <c r="R32" s="183"/>
      <c r="S32" s="183" cm="1">
        <f t="array" ref="S32">_xll.BDP($A32&amp;" Index","CHG_PCT_2D")/100</f>
        <v>-2.1823890000000002E-2</v>
      </c>
      <c r="T32" s="183" cm="1">
        <f t="array" ref="T32">_xll.BDP($A32&amp;" Index","CHG_PCT_5D")/100</f>
        <v>-1.6377030000000001E-2</v>
      </c>
      <c r="U32" s="183" cm="1">
        <f t="array" ref="U32">K32/_xll.BDP($A32&amp;" Index","HIGH_52WEEK")-1</f>
        <v>-0.30615406720753879</v>
      </c>
      <c r="V32" s="183" cm="1">
        <f t="array" ref="V32">K32/_xll.BDP($A32&amp;" Index","LOW_52WEEK")-1</f>
        <v>0.12282356642364767</v>
      </c>
      <c r="W32" s="183"/>
      <c r="X32" s="187" cm="1">
        <f t="array" ref="X32">_xll.BDP($A32&amp;" Index","RSI_14D")</f>
        <v>47.905169999999998</v>
      </c>
      <c r="Y32" s="188"/>
      <c r="Z32" s="189">
        <f t="shared" si="11"/>
        <v>-1</v>
      </c>
      <c r="AA32" s="188"/>
      <c r="AB32" s="189">
        <f t="shared" si="12"/>
        <v>-1</v>
      </c>
      <c r="AC32" s="188"/>
      <c r="AD32" s="183" t="e">
        <f t="shared" si="13"/>
        <v>#DIV/0!</v>
      </c>
      <c r="AE32" s="183"/>
      <c r="AF32" s="190">
        <f>IF(ISTEXT(B32),_xll.BDP(B32 &amp; " Equity","EXPECTED_REPORT_DT")*1,"")</f>
        <v>46079</v>
      </c>
      <c r="AG32" s="190" t="e">
        <f>IF(ISTEXT(C32),_xll.BDP(C32 &amp; " Equity","EXPECTED_REPORT_DT")*1,"")</f>
        <v>#VALUE!</v>
      </c>
      <c r="AH32" s="191" cm="1">
        <f t="array" ref="AH32">(_xll.BDP(B32&amp;" Equity","SHORT_INT")/_xll.BDP(B32&amp;" Equity","VOLUME_AVG_90D"))</f>
        <v>2.1419161992846121</v>
      </c>
      <c r="AI32" s="191" t="e" cm="1">
        <f t="array" ref="AI32">(_xll.BDP(C32&amp;" Equity","SHORT_INT")/_xll.BDP(C32&amp;" Equity","VOLUME_AVG_90D"))</f>
        <v>#VALUE!</v>
      </c>
      <c r="AJ32" s="191" cm="1">
        <f t="array" ref="AJ32">(_xll.BDP(B32&amp;" Equity","SHORT_INT"))/((_xll.BDP(B32&amp;" Equity","EQY_FREE_FLOAT_PCT"))*(_xll.BDP(B32&amp;" Equity","EQY_SH_OUT_TOT_MULT_SH")))/100</f>
        <v>1.9956927649943825</v>
      </c>
      <c r="AK32" s="191" t="e" cm="1">
        <f t="array" ref="AK32">(_xll.BDP(C32&amp;" Equity","SHORT_INT"))/((_xll.BDP(C32&amp;" Equity","EQY_FREE_FLOAT_PCT"))*(_xll.BDP(C32&amp;" Equity","EQY_SH_OUT_TOT_MULT_SH")))/100</f>
        <v>#VALUE!</v>
      </c>
      <c r="AM32" s="189">
        <f ca="1">IF(ISTEXT(B32),AP32/_xll.BDH(B32 &amp;  " Equity","BEST_EPS",$AM$3,$AM$3,"BEST_FPERIOD_OVERRIDE=1BF","CDR=US","Fill=p")-1,"")</f>
        <v>1.2462726508142952E-2</v>
      </c>
      <c r="AN32" s="189">
        <f ca="1">IF(ISTEXT(B32),AP32/_xll.BDH(B32 &amp;  " Equity","BEST_EPS",$AN$3,$AN$3,"BEST_FPERIOD_OVERRIDE=1BF","CDR=US","Fill=p")-1,"")</f>
        <v>6.7989353980159928E-2</v>
      </c>
      <c r="AO32" s="191">
        <f t="shared" ca="1" si="14"/>
        <v>14.830086089714543</v>
      </c>
      <c r="AP32" s="191" cm="1">
        <f t="array" aca="1" ref="AP32" ca="1">IF(ISTEXT(B32),_xll.BDH(B32 &amp;  " Equity","BEST_EPS",$Q$3,$Q$3,"BEST_FPERIOD_OVERRIDE=1BF","CDR=US","Fill=p"),"")</f>
        <v>13.242000000000001</v>
      </c>
      <c r="AR32" s="189" t="e">
        <f ca="1">IF(ISTEXT(C32),AU32/_xll.BDH(C32 &amp;  " Equity","BEST_EPS",$AM$3,$AM$3,"BEST_FPERIOD_OVERRIDE=1BF","CDR=US","Fill=p")-1,"")</f>
        <v>#VALUE!</v>
      </c>
      <c r="AS32" s="189" t="e">
        <f ca="1">IF(ISTEXT(C32),AU32/_xll.BDH(C32 &amp;  " Equity","BEST_EPS",$AN$3,$AN$3,"BEST_FPERIOD_OVERRIDE=1BF","CDR=US","Fill=p")-1,"")</f>
        <v>#VALUE!</v>
      </c>
      <c r="AT32" s="191" t="e">
        <f t="shared" ca="1" si="15"/>
        <v>#VALUE!</v>
      </c>
      <c r="AU32" s="191" t="str" cm="1">
        <f t="array" aca="1" ref="AU32" ca="1">IF(ISTEXT(C32),_xll.BDH(C32 &amp;  " Equity","BEST_EPS",$Q$3,$Q$3,"BEST_FPERIOD_OVERRIDE=1BF","CDR=US","Fill=p"),"")</f>
        <v>#N/A N/A</v>
      </c>
    </row>
    <row r="33" spans="1:47">
      <c r="A33" t="str">
        <f t="shared" si="16"/>
        <v>.METAQQQ</v>
      </c>
      <c r="B33" s="181" t="s">
        <v>81</v>
      </c>
      <c r="C33" s="181" t="s">
        <v>135</v>
      </c>
      <c r="D33" s="181"/>
      <c r="E33" s="181"/>
      <c r="F33" s="181"/>
      <c r="G33" s="182" cm="1">
        <f t="array" ref="G33">_xll.BDP(B33&amp;" Equity","LAST PRICE")</f>
        <v>691.7</v>
      </c>
      <c r="H33" s="183" cm="1">
        <f t="array" ref="H33">G33/_xll.BDP(B33&amp;" Equity", "PREV_CLOSE_VAL")-1</f>
        <v>-2.082360102490044E-2</v>
      </c>
      <c r="I33" s="182" cm="1">
        <f t="array" ref="I33">_xll.BDP(C33&amp;" Equity","LAST PRICE")</f>
        <v>616.52</v>
      </c>
      <c r="J33" s="183" cm="1">
        <f t="array" ref="J33">I33/_xll.BDP(C33&amp;" Equity", "PREV_CLOSE_VAL")-1</f>
        <v>-1.536397610757978E-2</v>
      </c>
      <c r="K33" s="184">
        <f t="shared" si="9"/>
        <v>1.1219425160578733</v>
      </c>
      <c r="L33" s="183" cm="1">
        <f t="array" ref="L33">K33/(_xll.BDP(B33&amp;" Equity", "PREV_CLOSE_VAL")/_xll.BDP(C33&amp;" Equity", "PREV_CLOSE_VAL"))-1</f>
        <v>-5.5448153275338141E-3</v>
      </c>
      <c r="M33" s="183"/>
      <c r="N33" s="185">
        <f t="shared" si="10"/>
        <v>0.22642719396268118</v>
      </c>
      <c r="O33" s="186">
        <f t="shared" si="17"/>
        <v>2.4488292375551359E-2</v>
      </c>
      <c r="P33" s="187" cm="1">
        <f t="array" ref="P33">_xll.BDP($A33&amp;" Index","VOLATILITY_30D")</f>
        <v>38.862920000000003</v>
      </c>
      <c r="Q33" s="187" cm="1">
        <f t="array" aca="1" ref="Q33" ca="1">(_xll.BDP(($B33&amp; " Equity"),"CORR_COEF", "BETA_OVERRIDE_REL_INDEX",($C33&amp; " Equity"),"BETA_OVERRIDE_END_DT",$Q$5,"BETA_OVERRIDE_START_DT",$Q$4))*100</f>
        <v>41.887499559700316</v>
      </c>
      <c r="R33" s="183"/>
      <c r="S33" s="183" cm="1">
        <f t="array" ref="S33">_xll.BDP($A33&amp;" Index","CHG_PCT_2D")/100</f>
        <v>-2.6601979999999997E-2</v>
      </c>
      <c r="T33" s="183" cm="1">
        <f t="array" ref="T33">_xll.BDP($A33&amp;" Index","CHG_PCT_5D")/100</f>
        <v>5.179247E-2</v>
      </c>
      <c r="U33" s="183" cm="1">
        <f t="array" ref="U33">K33/_xll.BDP($A33&amp;" Index","HIGH_52WEEK")-1</f>
        <v>-0.18481252920302749</v>
      </c>
      <c r="V33" s="183" cm="1">
        <f t="array" ref="V33">K33/_xll.BDP($A33&amp;" Index","LOW_52WEEK")-1</f>
        <v>0.14417381324930734</v>
      </c>
      <c r="W33" s="183"/>
      <c r="X33" s="187" cm="1">
        <f t="array" ref="X33">_xll.BDP($A33&amp;" Index","RSI_14D")</f>
        <v>62.59769</v>
      </c>
      <c r="Y33" s="188"/>
      <c r="Z33" s="189">
        <f t="shared" si="11"/>
        <v>-1</v>
      </c>
      <c r="AA33" s="188"/>
      <c r="AB33" s="189">
        <f t="shared" si="12"/>
        <v>-1</v>
      </c>
      <c r="AC33" s="188"/>
      <c r="AD33" s="183" t="e">
        <f t="shared" si="13"/>
        <v>#DIV/0!</v>
      </c>
      <c r="AE33" s="183"/>
      <c r="AF33" s="190">
        <f>IF(ISTEXT(B33),_xll.BDP(B33 &amp; " Equity","EXPECTED_REPORT_DT")*1,"")</f>
        <v>46142</v>
      </c>
      <c r="AG33" s="190" t="e">
        <f>IF(ISTEXT(C33),_xll.BDP(C33 &amp; " Equity","EXPECTED_REPORT_DT")*1,"")</f>
        <v>#VALUE!</v>
      </c>
      <c r="AH33" s="191" cm="1">
        <f t="array" ref="AH33">(_xll.BDP(B33&amp;" Equity","SHORT_INT")/_xll.BDP(B33&amp;" Equity","VOLUME_AVG_90D"))</f>
        <v>1.835076864569823</v>
      </c>
      <c r="AI33" s="191" cm="1">
        <f t="array" ref="AI33">(_xll.BDP(C33&amp;" Equity","SHORT_INT")/_xll.BDP(C33&amp;" Equity","VOLUME_AVG_90D"))</f>
        <v>0.80858183712713494</v>
      </c>
      <c r="AJ33" s="191" cm="1">
        <f t="array" ref="AJ33">(_xll.BDP(B33&amp;" Equity","SHORT_INT"))/((_xll.BDP(B33&amp;" Equity","EQY_FREE_FLOAT_PCT"))*(_xll.BDP(B33&amp;" Equity","EQY_SH_OUT_TOT_MULT_SH")))/100</f>
        <v>1.2886696817530352</v>
      </c>
      <c r="AK33" s="191" t="e" cm="1">
        <f t="array" ref="AK33">(_xll.BDP(C33&amp;" Equity","SHORT_INT"))/((_xll.BDP(C33&amp;" Equity","EQY_FREE_FLOAT_PCT"))*(_xll.BDP(C33&amp;" Equity","EQY_SH_OUT_TOT_MULT_SH")))/100</f>
        <v>#VALUE!</v>
      </c>
      <c r="AM33" s="189">
        <f ca="1">IF(ISTEXT(B33),AP33/_xll.BDH(B33 &amp;  " Equity","BEST_EPS",$AM$3,$AM$3,"BEST_FPERIOD_OVERRIDE=1BF","CDR=US","Fill=p")-1,"")</f>
        <v>-8.561592575961674E-3</v>
      </c>
      <c r="AN33" s="189">
        <f ca="1">IF(ISTEXT(B33),AP33/_xll.BDH(B33 &amp;  " Equity","BEST_EPS",$AN$3,$AN$3,"BEST_FPERIOD_OVERRIDE=1BF","CDR=US","Fill=p")-1,"")</f>
        <v>5.2815298224313523E-3</v>
      </c>
      <c r="AO33" s="191">
        <f t="shared" ca="1" si="14"/>
        <v>20.885292430327006</v>
      </c>
      <c r="AP33" s="191" cm="1">
        <f t="array" aca="1" ref="AP33" ca="1">IF(ISTEXT(B33),_xll.BDH(B33 &amp;  " Equity","BEST_EPS",$Q$3,$Q$3,"BEST_FPERIOD_OVERRIDE=1BF","CDR=US","Fill=p"),"")</f>
        <v>33.119</v>
      </c>
      <c r="AR33" s="189" t="e">
        <f ca="1">IF(ISTEXT(C33),AU33/_xll.BDH(C33 &amp;  " Equity","BEST_EPS",$AM$3,$AM$3,"BEST_FPERIOD_OVERRIDE=1BF","CDR=US","Fill=p")-1,"")</f>
        <v>#VALUE!</v>
      </c>
      <c r="AS33" s="189" t="e">
        <f ca="1">IF(ISTEXT(C33),AU33/_xll.BDH(C33 &amp;  " Equity","BEST_EPS",$AN$3,$AN$3,"BEST_FPERIOD_OVERRIDE=1BF","CDR=US","Fill=p")-1,"")</f>
        <v>#VALUE!</v>
      </c>
      <c r="AT33" s="191" t="e">
        <f t="shared" ca="1" si="15"/>
        <v>#VALUE!</v>
      </c>
      <c r="AU33" s="191" t="str" cm="1">
        <f t="array" aca="1" ref="AU33" ca="1">IF(ISTEXT(C33),_xll.BDH(C33 &amp;  " Equity","BEST_EPS",$Q$3,$Q$3,"BEST_FPERIOD_OVERRIDE=1BF","CDR=US","Fill=p"),"")</f>
        <v>#N/A N/A</v>
      </c>
    </row>
    <row r="34" spans="1:47">
      <c r="A34" t="str">
        <f t="shared" si="16"/>
        <v>.TSMSMH</v>
      </c>
      <c r="B34" s="181" t="s">
        <v>96</v>
      </c>
      <c r="C34" s="181" t="s">
        <v>136</v>
      </c>
      <c r="D34" s="181"/>
      <c r="E34" s="181"/>
      <c r="F34" s="181"/>
      <c r="G34" s="182" cm="1">
        <f t="array" ref="G34">_xll.BDP(B34&amp;" Equity","LAST PRICE")</f>
        <v>335.75</v>
      </c>
      <c r="H34" s="183" cm="1">
        <f t="array" ref="H34">G34/_xll.BDP(B34&amp;" Equity", "PREV_CLOSE_VAL")-1</f>
        <v>-1.6434262948207157E-2</v>
      </c>
      <c r="I34" s="182" cm="1">
        <f t="array" ref="I34">_xll.BDP(C34&amp;" Equity","LAST PRICE")</f>
        <v>397.68</v>
      </c>
      <c r="J34" s="183" cm="1">
        <f t="array" ref="J34">I34/_xll.BDP(C34&amp;" Equity", "PREV_CLOSE_VAL")-1</f>
        <v>-2.5222442826678515E-2</v>
      </c>
      <c r="K34" s="184">
        <f t="shared" si="9"/>
        <v>0.84427177630255479</v>
      </c>
      <c r="L34" s="183" cm="1">
        <f t="array" ref="L34">K34/(_xll.BDP(B34&amp;" Equity", "PREV_CLOSE_VAL")/_xll.BDP(C34&amp;" Equity", "PREV_CLOSE_VAL"))-1</f>
        <v>9.0155746957853999E-3</v>
      </c>
      <c r="M34" s="183"/>
      <c r="N34" s="185">
        <f t="shared" si="10"/>
        <v>0.61258202961034802</v>
      </c>
      <c r="O34" s="186">
        <f t="shared" si="17"/>
        <v>1.471733459357278E-2</v>
      </c>
      <c r="P34" s="187" cm="1">
        <f t="array" ref="P34">_xll.BDP($A34&amp;" Index","VOLATILITY_30D")</f>
        <v>23.35641</v>
      </c>
      <c r="Q34" s="187" cm="1">
        <f t="array" aca="1" ref="Q34" ca="1">(_xll.BDP(($B34&amp; " Equity"),"CORR_COEF", "BETA_OVERRIDE_REL_INDEX",($C34&amp; " Equity"),"BETA_OVERRIDE_END_DT",$Q$5,"BETA_OVERRIDE_START_DT",$Q$4))*100</f>
        <v>80.025299103817645</v>
      </c>
      <c r="R34" s="183"/>
      <c r="S34" s="183" cm="1">
        <f t="array" ref="S34">_xll.BDP($A34&amp;" Index","CHG_PCT_2D")/100</f>
        <v>3.2242989999999999E-2</v>
      </c>
      <c r="T34" s="183" cm="1">
        <f t="array" ref="T34">_xll.BDP($A34&amp;" Index","CHG_PCT_5D")/100</f>
        <v>1.798056E-2</v>
      </c>
      <c r="U34" s="183" cm="1">
        <f t="array" ref="U34">K34/_xll.BDP($A34&amp;" Index","HIGH_52WEEK")-1</f>
        <v>-5.3018623614695004E-2</v>
      </c>
      <c r="V34" s="183" cm="1">
        <f t="array" ref="V34">K34/_xll.BDP($A34&amp;" Index","LOW_52WEEK")-1</f>
        <v>0.12124063893138581</v>
      </c>
      <c r="W34" s="183"/>
      <c r="X34" s="187" cm="1">
        <f t="array" ref="X34">_xll.BDP($A34&amp;" Index","RSI_14D")</f>
        <v>52.287709999999997</v>
      </c>
      <c r="Y34" s="188"/>
      <c r="Z34" s="189">
        <f t="shared" si="11"/>
        <v>-1</v>
      </c>
      <c r="AA34" s="188"/>
      <c r="AB34" s="189">
        <f t="shared" si="12"/>
        <v>-1</v>
      </c>
      <c r="AC34" s="188"/>
      <c r="AD34" s="183" t="e">
        <f t="shared" si="13"/>
        <v>#DIV/0!</v>
      </c>
      <c r="AE34" s="183"/>
      <c r="AF34" s="190">
        <f>IF(ISTEXT(B34),_xll.BDP(B34 &amp; " Equity","EXPECTED_REPORT_DT")*1,"")</f>
        <v>46129</v>
      </c>
      <c r="AG34" s="190" t="e">
        <f>IF(ISTEXT(C34),_xll.BDP(C34 &amp; " Equity","EXPECTED_REPORT_DT")*1,"")</f>
        <v>#VALUE!</v>
      </c>
      <c r="AH34" s="191" cm="1">
        <f t="array" ref="AH34">(_xll.BDP(B34&amp;" Equity","SHORT_INT")/_xll.BDP(B34&amp;" Equity","VOLUME_AVG_90D"))</f>
        <v>1.7626142242904936</v>
      </c>
      <c r="AI34" s="191" cm="1">
        <f t="array" ref="AI34">(_xll.BDP(C34&amp;" Equity","SHORT_INT")/_xll.BDP(C34&amp;" Equity","VOLUME_AVG_90D"))</f>
        <v>1.1624430766047966</v>
      </c>
      <c r="AJ34" s="191" t="e" cm="1">
        <f t="array" ref="AJ34">(_xll.BDP(B34&amp;" Equity","SHORT_INT"))/((_xll.BDP(B34&amp;" Equity","EQY_FREE_FLOAT_PCT"))*(_xll.BDP(B34&amp;" Equity","EQY_SH_OUT_TOT_MULT_SH")))/100</f>
        <v>#VALUE!</v>
      </c>
      <c r="AK34" s="191" t="e" cm="1">
        <f t="array" ref="AK34">(_xll.BDP(C34&amp;" Equity","SHORT_INT"))/((_xll.BDP(C34&amp;" Equity","EQY_FREE_FLOAT_PCT"))*(_xll.BDP(C34&amp;" Equity","EQY_SH_OUT_TOT_MULT_SH")))/100</f>
        <v>#VALUE!</v>
      </c>
      <c r="AM34" s="189">
        <f ca="1">IF(ISTEXT(B34),AP34/_xll.BDH(B34 &amp;  " Equity","BEST_EPS",$AM$3,$AM$3,"BEST_FPERIOD_OVERRIDE=1BF","CDR=US","Fill=p")-1,"")</f>
        <v>0.18700618690980142</v>
      </c>
      <c r="AN34" s="189">
        <f ca="1">IF(ISTEXT(B34),AP34/_xll.BDH(B34 &amp;  " Equity","BEST_EPS",$AN$3,$AN$3,"BEST_FPERIOD_OVERRIDE=1BF","CDR=US","Fill=p")-1,"")</f>
        <v>0.25045829262670272</v>
      </c>
      <c r="AO34" s="191">
        <f t="shared" ca="1" si="14"/>
        <v>0.7368400261597412</v>
      </c>
      <c r="AP34" s="191" cm="1">
        <f t="array" aca="1" ref="AP34" ca="1">IF(ISTEXT(B34),_xll.BDH(B34 &amp;  " Equity","BEST_EPS",$Q$3,$Q$3,"BEST_FPERIOD_OVERRIDE=1BF","CDR=US","Fill=p"),"")</f>
        <v>455.66199999999998</v>
      </c>
      <c r="AR34" s="189" t="e">
        <f ca="1">IF(ISTEXT(C34),AU34/_xll.BDH(C34 &amp;  " Equity","BEST_EPS",$AM$3,$AM$3,"BEST_FPERIOD_OVERRIDE=1BF","CDR=US","Fill=p")-1,"")</f>
        <v>#VALUE!</v>
      </c>
      <c r="AS34" s="189" t="e">
        <f ca="1">IF(ISTEXT(C34),AU34/_xll.BDH(C34 &amp;  " Equity","BEST_EPS",$AN$3,$AN$3,"BEST_FPERIOD_OVERRIDE=1BF","CDR=US","Fill=p")-1,"")</f>
        <v>#VALUE!</v>
      </c>
      <c r="AT34" s="191" t="e">
        <f t="shared" ca="1" si="15"/>
        <v>#VALUE!</v>
      </c>
      <c r="AU34" s="191" t="str" cm="1">
        <f t="array" aca="1" ref="AU34" ca="1">IF(ISTEXT(C34),_xll.BDH(C34 &amp;  " Equity","BEST_EPS",$Q$3,$Q$3,"BEST_FPERIOD_OVERRIDE=1BF","CDR=US","Fill=p"),"")</f>
        <v>#N/A N/A</v>
      </c>
    </row>
    <row r="35" spans="1:47">
      <c r="A35" t="str">
        <f t="shared" si="16"/>
        <v>.NVDASMH</v>
      </c>
      <c r="B35" s="181" t="s">
        <v>94</v>
      </c>
      <c r="C35" s="181" t="s">
        <v>136</v>
      </c>
      <c r="D35" s="181"/>
      <c r="E35" s="181"/>
      <c r="F35" s="181"/>
      <c r="G35" s="182" cm="1">
        <f t="array" ref="G35">_xll.BDP(B35&amp;" Equity","LAST PRICE")</f>
        <v>180.34</v>
      </c>
      <c r="H35" s="183" cm="1">
        <f t="array" ref="H35">G35/_xll.BDP(B35&amp;" Equity", "PREV_CLOSE_VAL")-1</f>
        <v>-2.8392866763644276E-2</v>
      </c>
      <c r="I35" s="182" cm="1">
        <f t="array" ref="I35">_xll.BDP(C35&amp;" Equity","LAST PRICE")</f>
        <v>397.68</v>
      </c>
      <c r="J35" s="183" cm="1">
        <f t="array" ref="J35">I35/_xll.BDP(C35&amp;" Equity", "PREV_CLOSE_VAL")-1</f>
        <v>-2.5222442826678515E-2</v>
      </c>
      <c r="K35" s="184">
        <f t="shared" si="9"/>
        <v>0.45348018507342586</v>
      </c>
      <c r="L35" s="183" cm="1">
        <f t="array" ref="L35">K35/(_xll.BDP(B35&amp;" Equity", "PREV_CLOSE_VAL")/_xll.BDP(C35&amp;" Equity", "PREV_CLOSE_VAL"))-1</f>
        <v>-3.2524588955037403E-3</v>
      </c>
      <c r="M35" s="183"/>
      <c r="N35" s="185">
        <f t="shared" si="10"/>
        <v>0.20778669983605547</v>
      </c>
      <c r="O35" s="186">
        <f t="shared" si="17"/>
        <v>1.5652873345935729E-2</v>
      </c>
      <c r="P35" s="187" cm="1">
        <f t="array" ref="P35">_xll.BDP($A35&amp;" Index","VOLATILITY_30D")</f>
        <v>24.84111</v>
      </c>
      <c r="Q35" s="187" cm="1">
        <f t="array" aca="1" ref="Q35" ca="1">(_xll.BDP(($B35&amp; " Equity"),"CORR_COEF", "BETA_OVERRIDE_REL_INDEX",($C35&amp; " Equity"),"BETA_OVERRIDE_END_DT",$Q$5,"BETA_OVERRIDE_START_DT",$Q$4))*100</f>
        <v>56.753718597037292</v>
      </c>
      <c r="R35" s="183"/>
      <c r="S35" s="183" cm="1">
        <f t="array" ref="S35">_xll.BDP($A35&amp;" Index","CHG_PCT_2D")/100</f>
        <v>-4.1347209999999995E-2</v>
      </c>
      <c r="T35" s="183" cm="1">
        <f t="array" ref="T35">_xll.BDP($A35&amp;" Index","CHG_PCT_5D")/100</f>
        <v>-1.894494E-2</v>
      </c>
      <c r="U35" s="183" cm="1">
        <f t="array" ref="U35">K35/_xll.BDP($A35&amp;" Index","HIGH_52WEEK")-1</f>
        <v>-0.27557918645118007</v>
      </c>
      <c r="V35" s="183" cm="1">
        <f t="array" ref="V35">K35/_xll.BDP($A35&amp;" Index","LOW_52WEEK")-1</f>
        <v>-3.2526264431469443E-3</v>
      </c>
      <c r="W35" s="183"/>
      <c r="X35" s="187" cm="1">
        <f t="array" ref="X35">_xll.BDP($A35&amp;" Index","RSI_14D")</f>
        <v>35.985639999999997</v>
      </c>
      <c r="Y35" s="188"/>
      <c r="Z35" s="189">
        <f t="shared" si="11"/>
        <v>-1</v>
      </c>
      <c r="AA35" s="188"/>
      <c r="AB35" s="189">
        <f t="shared" si="12"/>
        <v>-1</v>
      </c>
      <c r="AC35" s="188"/>
      <c r="AD35" s="183" t="e">
        <f t="shared" si="13"/>
        <v>#DIV/0!</v>
      </c>
      <c r="AE35" s="183"/>
      <c r="AF35" s="190">
        <f>IF(ISTEXT(B35),_xll.BDP(B35 &amp; " Equity","EXPECTED_REPORT_DT")*1,"")</f>
        <v>46078</v>
      </c>
      <c r="AG35" s="190" t="e">
        <f>IF(ISTEXT(C35),_xll.BDP(C35 &amp; " Equity","EXPECTED_REPORT_DT")*1,"")</f>
        <v>#VALUE!</v>
      </c>
      <c r="AH35" s="191" cm="1">
        <f t="array" ref="AH35">(_xll.BDP(B35&amp;" Equity","SHORT_INT")/_xll.BDP(B35&amp;" Equity","VOLUME_AVG_90D"))</f>
        <v>1.4553195567571278</v>
      </c>
      <c r="AI35" s="191" cm="1">
        <f t="array" ref="AI35">(_xll.BDP(C35&amp;" Equity","SHORT_INT")/_xll.BDP(C35&amp;" Equity","VOLUME_AVG_90D"))</f>
        <v>1.1624430766047966</v>
      </c>
      <c r="AJ35" s="191" cm="1">
        <f t="array" ref="AJ35">(_xll.BDP(B35&amp;" Equity","SHORT_INT"))/((_xll.BDP(B35&amp;" Equity","EQY_FREE_FLOAT_PCT"))*(_xll.BDP(B35&amp;" Equity","EQY_SH_OUT_TOT_MULT_SH")))/100</f>
        <v>1.1202678799294328</v>
      </c>
      <c r="AK35" s="191" t="e" cm="1">
        <f t="array" ref="AK35">(_xll.BDP(C35&amp;" Equity","SHORT_INT"))/((_xll.BDP(C35&amp;" Equity","EQY_FREE_FLOAT_PCT"))*(_xll.BDP(C35&amp;" Equity","EQY_SH_OUT_TOT_MULT_SH")))/100</f>
        <v>#VALUE!</v>
      </c>
      <c r="AM35" s="189">
        <f ca="1">IF(ISTEXT(B35),AP35/_xll.BDH(B35 &amp;  " Equity","BEST_EPS",$AM$3,$AM$3,"BEST_FPERIOD_OVERRIDE=1BF","CDR=US","Fill=p")-1,"")</f>
        <v>4.2030347791056855E-2</v>
      </c>
      <c r="AN35" s="189">
        <f ca="1">IF(ISTEXT(B35),AP35/_xll.BDH(B35 &amp;  " Equity","BEST_EPS",$AN$3,$AN$3,"BEST_FPERIOD_OVERRIDE=1BF","CDR=US","Fill=p")-1,"")</f>
        <v>0.26714565643370358</v>
      </c>
      <c r="AO35" s="191">
        <f t="shared" ca="1" si="14"/>
        <v>23.239690721649485</v>
      </c>
      <c r="AP35" s="191" cm="1">
        <f t="array" aca="1" ref="AP35" ca="1">IF(ISTEXT(B35),_xll.BDH(B35 &amp;  " Equity","BEST_EPS",$Q$3,$Q$3,"BEST_FPERIOD_OVERRIDE=1BF","CDR=US","Fill=p"),"")</f>
        <v>7.76</v>
      </c>
      <c r="AR35" s="189" t="e">
        <f ca="1">IF(ISTEXT(C35),AU35/_xll.BDH(C35 &amp;  " Equity","BEST_EPS",$AM$3,$AM$3,"BEST_FPERIOD_OVERRIDE=1BF","CDR=US","Fill=p")-1,"")</f>
        <v>#VALUE!</v>
      </c>
      <c r="AS35" s="189" t="e">
        <f ca="1">IF(ISTEXT(C35),AU35/_xll.BDH(C35 &amp;  " Equity","BEST_EPS",$AN$3,$AN$3,"BEST_FPERIOD_OVERRIDE=1BF","CDR=US","Fill=p")-1,"")</f>
        <v>#VALUE!</v>
      </c>
      <c r="AT35" s="191" t="e">
        <f t="shared" ca="1" si="15"/>
        <v>#VALUE!</v>
      </c>
      <c r="AU35" s="191" t="str" cm="1">
        <f t="array" aca="1" ref="AU35" ca="1">IF(ISTEXT(C35),_xll.BDH(C35 &amp;  " Equity","BEST_EPS",$Q$3,$Q$3,"BEST_FPERIOD_OVERRIDE=1BF","CDR=US","Fill=p"),"")</f>
        <v>#N/A N/A</v>
      </c>
    </row>
    <row r="36" spans="1:47">
      <c r="A36" t="str">
        <f t="shared" si="16"/>
        <v>.AVGOSMH</v>
      </c>
      <c r="B36" s="181" t="s">
        <v>137</v>
      </c>
      <c r="C36" s="181" t="s">
        <v>136</v>
      </c>
      <c r="D36" s="181"/>
      <c r="E36" s="181"/>
      <c r="F36" s="181"/>
      <c r="G36" s="182" cm="1">
        <f t="array" ref="G36">_xll.BDP(B36&amp;" Equity","LAST PRICE")</f>
        <v>320.33</v>
      </c>
      <c r="H36" s="183" cm="1">
        <f t="array" ref="H36">G36/_xll.BDP(B36&amp;" Equity", "PREV_CLOSE_VAL")-1</f>
        <v>-3.2557156232068007E-2</v>
      </c>
      <c r="I36" s="182" cm="1">
        <f t="array" ref="I36">_xll.BDP(C36&amp;" Equity","LAST PRICE")</f>
        <v>397.68</v>
      </c>
      <c r="J36" s="183" cm="1">
        <f t="array" ref="J36">I36/_xll.BDP(C36&amp;" Equity", "PREV_CLOSE_VAL")-1</f>
        <v>-2.5222442826678515E-2</v>
      </c>
      <c r="K36" s="184">
        <f t="shared" si="9"/>
        <v>0.8054968819151076</v>
      </c>
      <c r="L36" s="183" cm="1">
        <f t="array" ref="L36">K36/(_xll.BDP(B36&amp;" Equity", "PREV_CLOSE_VAL")/_xll.BDP(C36&amp;" Equity", "PREV_CLOSE_VAL"))-1</f>
        <v>-7.5244996680665643E-3</v>
      </c>
      <c r="M36" s="183"/>
      <c r="N36" s="185">
        <f t="shared" si="10"/>
        <v>0.41506623862164022</v>
      </c>
      <c r="O36" s="186">
        <f t="shared" si="17"/>
        <v>1.812843100189036E-2</v>
      </c>
      <c r="P36" s="187" cm="1">
        <f t="array" ref="P36">_xll.BDP($A36&amp;" Index","VOLATILITY_30D")</f>
        <v>28.769819999999999</v>
      </c>
      <c r="Q36" s="187" cm="1">
        <f t="array" aca="1" ref="Q36" ca="1">(_xll.BDP(($B36&amp; " Equity"),"CORR_COEF", "BETA_OVERRIDE_REL_INDEX",($C36&amp; " Equity"),"BETA_OVERRIDE_END_DT",$Q$5,"BETA_OVERRIDE_START_DT",$Q$4))*100</f>
        <v>58.825214741038593</v>
      </c>
      <c r="R36" s="183"/>
      <c r="S36" s="183" cm="1">
        <f t="array" ref="S36">_xll.BDP($A36&amp;" Index","CHG_PCT_2D")/100</f>
        <v>-2.0784460000000001E-2</v>
      </c>
      <c r="T36" s="183" cm="1">
        <f t="array" ref="T36">_xll.BDP($A36&amp;" Index","CHG_PCT_5D")/100</f>
        <v>-1.6011350000000001E-2</v>
      </c>
      <c r="U36" s="183" cm="1">
        <f t="array" ref="U36">K36/_xll.BDP($A36&amp;" Index","HIGH_52WEEK")-1</f>
        <v>-0.3443248824459848</v>
      </c>
      <c r="V36" s="183" cm="1">
        <f t="array" ref="V36">K36/_xll.BDP($A36&amp;" Index","LOW_52WEEK")-1</f>
        <v>2.2866172161053022E-2</v>
      </c>
      <c r="W36" s="183"/>
      <c r="X36" s="187" cm="1">
        <f t="array" ref="X36">_xll.BDP($A36&amp;" Index","RSI_14D")</f>
        <v>34.246360000000003</v>
      </c>
      <c r="Y36" s="188"/>
      <c r="Z36" s="189">
        <f t="shared" si="11"/>
        <v>-1</v>
      </c>
      <c r="AA36" s="188"/>
      <c r="AB36" s="189">
        <f t="shared" si="12"/>
        <v>-1</v>
      </c>
      <c r="AC36" s="188"/>
      <c r="AD36" s="183" t="e">
        <f t="shared" si="13"/>
        <v>#DIV/0!</v>
      </c>
      <c r="AE36" s="183"/>
      <c r="AF36" s="190">
        <f>IF(ISTEXT(B36),_xll.BDP(B36 &amp; " Equity","EXPECTED_REPORT_DT")*1,"")</f>
        <v>46085</v>
      </c>
      <c r="AG36" s="190" t="e">
        <f>IF(ISTEXT(C36),_xll.BDP(C36 &amp; " Equity","EXPECTED_REPORT_DT")*1,"")</f>
        <v>#VALUE!</v>
      </c>
      <c r="AH36" s="191" cm="1">
        <f t="array" ref="AH36">(_xll.BDP(B36&amp;" Equity","SHORT_INT")/_xll.BDP(B36&amp;" Equity","VOLUME_AVG_90D"))</f>
        <v>2.1534190188408893</v>
      </c>
      <c r="AI36" s="191" cm="1">
        <f t="array" ref="AI36">(_xll.BDP(C36&amp;" Equity","SHORT_INT")/_xll.BDP(C36&amp;" Equity","VOLUME_AVG_90D"))</f>
        <v>1.1624430766047966</v>
      </c>
      <c r="AJ36" s="191" cm="1">
        <f t="array" ref="AJ36">(_xll.BDP(B36&amp;" Equity","SHORT_INT"))/((_xll.BDP(B36&amp;" Equity","EQY_FREE_FLOAT_PCT"))*(_xll.BDP(B36&amp;" Equity","EQY_SH_OUT_TOT_MULT_SH")))/100</f>
        <v>1.2477590154715748</v>
      </c>
      <c r="AK36" s="191" t="e" cm="1">
        <f t="array" ref="AK36">(_xll.BDP(C36&amp;" Equity","SHORT_INT"))/((_xll.BDP(C36&amp;" Equity","EQY_FREE_FLOAT_PCT"))*(_xll.BDP(C36&amp;" Equity","EQY_SH_OUT_TOT_MULT_SH")))/100</f>
        <v>#VALUE!</v>
      </c>
      <c r="AM36" s="189">
        <f ca="1">IF(ISTEXT(B36),AP36/_xll.BDH(B36 &amp;  " Equity","BEST_EPS",$AM$3,$AM$3,"BEST_FPERIOD_OVERRIDE=1BF","CDR=US","Fill=p")-1,"")</f>
        <v>5.1075523547806201E-2</v>
      </c>
      <c r="AN36" s="189">
        <f ca="1">IF(ISTEXT(B36),AP36/_xll.BDH(B36 &amp;  " Equity","BEST_EPS",$AN$3,$AN$3,"BEST_FPERIOD_OVERRIDE=1BF","CDR=US","Fill=p")-1,"")</f>
        <v>0.1864370520911327</v>
      </c>
      <c r="AO36" s="191">
        <f t="shared" ca="1" si="14"/>
        <v>28.879372520735661</v>
      </c>
      <c r="AP36" s="191" cm="1">
        <f t="array" aca="1" ref="AP36" ca="1">IF(ISTEXT(B36),_xll.BDH(B36 &amp;  " Equity","BEST_EPS",$Q$3,$Q$3,"BEST_FPERIOD_OVERRIDE=1BF","CDR=US","Fill=p"),"")</f>
        <v>11.092000000000001</v>
      </c>
      <c r="AR36" s="189" t="e">
        <f ca="1">IF(ISTEXT(C36),AU36/_xll.BDH(C36 &amp;  " Equity","BEST_EPS",$AM$3,$AM$3,"BEST_FPERIOD_OVERRIDE=1BF","CDR=US","Fill=p")-1,"")</f>
        <v>#VALUE!</v>
      </c>
      <c r="AS36" s="189" t="e">
        <f ca="1">IF(ISTEXT(C36),AU36/_xll.BDH(C36 &amp;  " Equity","BEST_EPS",$AN$3,$AN$3,"BEST_FPERIOD_OVERRIDE=1BF","CDR=US","Fill=p")-1,"")</f>
        <v>#VALUE!</v>
      </c>
      <c r="AT36" s="191" t="e">
        <f t="shared" ca="1" si="15"/>
        <v>#VALUE!</v>
      </c>
      <c r="AU36" s="191" t="str" cm="1">
        <f t="array" aca="1" ref="AU36" ca="1">IF(ISTEXT(C36),_xll.BDH(C36 &amp;  " Equity","BEST_EPS",$Q$3,$Q$3,"BEST_FPERIOD_OVERRIDE=1BF","CDR=US","Fill=p"),"")</f>
        <v>#N/A N/A</v>
      </c>
    </row>
    <row r="37" spans="1:47">
      <c r="A37" t="str">
        <f t="shared" si="16"/>
        <v>.MRVLSMH</v>
      </c>
      <c r="B37" s="181" t="s">
        <v>138</v>
      </c>
      <c r="C37" s="181" t="s">
        <v>136</v>
      </c>
      <c r="D37" s="181"/>
      <c r="E37" s="181"/>
      <c r="F37" s="181"/>
      <c r="G37" s="182" cm="1">
        <f t="array" ref="G37">_xll.BDP(B37&amp;" Equity","LAST PRICE")</f>
        <v>75.540000000000006</v>
      </c>
      <c r="H37" s="183" cm="1">
        <f t="array" ref="H37">G37/_xll.BDP(B37&amp;" Equity", "PREV_CLOSE_VAL")-1</f>
        <v>-3.9664378337147088E-2</v>
      </c>
      <c r="I37" s="182" cm="1">
        <f t="array" ref="I37">_xll.BDP(C37&amp;" Equity","LAST PRICE")</f>
        <v>397.68</v>
      </c>
      <c r="J37" s="183" cm="1">
        <f t="array" ref="J37">I37/_xll.BDP(C37&amp;" Equity", "PREV_CLOSE_VAL")-1</f>
        <v>-2.5222442826678515E-2</v>
      </c>
      <c r="K37" s="184">
        <f t="shared" si="9"/>
        <v>0.18995171997586</v>
      </c>
      <c r="L37" s="183" cm="1">
        <f t="array" ref="L37">K37/(_xll.BDP(B37&amp;" Equity", "PREV_CLOSE_VAL")/_xll.BDP(C37&amp;" Equity", "PREV_CLOSE_VAL"))-1</f>
        <v>-1.4815621681266156E-2</v>
      </c>
      <c r="M37" s="183"/>
      <c r="N37" s="185">
        <f t="shared" si="10"/>
        <v>0.82447489721128564</v>
      </c>
      <c r="O37" s="186">
        <f t="shared" si="17"/>
        <v>1.7969766855702583E-2</v>
      </c>
      <c r="P37" s="187" cm="1">
        <f t="array" ref="P37">_xll.BDP($A37&amp;" Index","VOLATILITY_30D")</f>
        <v>28.51802</v>
      </c>
      <c r="Q37" s="187" cm="1">
        <f t="array" aca="1" ref="Q37" ca="1">(_xll.BDP(($B37&amp; " Equity"),"CORR_COEF", "BETA_OVERRIDE_REL_INDEX",($C37&amp; " Equity"),"BETA_OVERRIDE_END_DT",$Q$5,"BETA_OVERRIDE_START_DT",$Q$4))*100</f>
        <v>67.956553114690706</v>
      </c>
      <c r="R37" s="183"/>
      <c r="S37" s="183" cm="1">
        <f t="array" ref="S37">_xll.BDP($A37&amp;" Index","CHG_PCT_2D")/100</f>
        <v>-2.7851620000000001E-2</v>
      </c>
      <c r="T37" s="183" cm="1">
        <f t="array" ref="T37">_xll.BDP($A37&amp;" Index","CHG_PCT_5D")/100</f>
        <v>-6.6168190000000002E-2</v>
      </c>
      <c r="U37" s="183" cm="1">
        <f t="array" ref="U37">K37/_xll.BDP($A37&amp;" Index","HIGH_52WEEK")-1</f>
        <v>-0.60437439865065712</v>
      </c>
      <c r="V37" s="183" cm="1">
        <f t="array" ref="V37">K37/_xll.BDP($A37&amp;" Index","LOW_52WEEK")-1</f>
        <v>-1.4824334962605712E-2</v>
      </c>
      <c r="W37" s="183"/>
      <c r="X37" s="187" cm="1">
        <f t="array" ref="X37">_xll.BDP($A37&amp;" Index","RSI_14D")</f>
        <v>26.709589999999999</v>
      </c>
      <c r="Y37" s="188"/>
      <c r="Z37" s="189">
        <f t="shared" si="11"/>
        <v>-1</v>
      </c>
      <c r="AA37" s="188"/>
      <c r="AB37" s="189">
        <f t="shared" si="12"/>
        <v>-1</v>
      </c>
      <c r="AC37" s="188"/>
      <c r="AD37" s="183" t="e">
        <f t="shared" si="13"/>
        <v>#DIV/0!</v>
      </c>
      <c r="AE37" s="183"/>
      <c r="AF37" s="190">
        <f>IF(ISTEXT(B37),_xll.BDP(B37 &amp; " Equity","EXPECTED_REPORT_DT")*1,"")</f>
        <v>46086</v>
      </c>
      <c r="AG37" s="190" t="e">
        <f>IF(ISTEXT(C37),_xll.BDP(C37 &amp; " Equity","EXPECTED_REPORT_DT")*1,"")</f>
        <v>#VALUE!</v>
      </c>
      <c r="AH37" s="191" cm="1">
        <f t="array" ref="AH37">(_xll.BDP(B37&amp;" Equity","SHORT_INT")/_xll.BDP(B37&amp;" Equity","VOLUME_AVG_90D"))</f>
        <v>2.1286253511454651</v>
      </c>
      <c r="AI37" s="191" cm="1">
        <f t="array" ref="AI37">(_xll.BDP(C37&amp;" Equity","SHORT_INT")/_xll.BDP(C37&amp;" Equity","VOLUME_AVG_90D"))</f>
        <v>1.1624430766047966</v>
      </c>
      <c r="AJ37" s="191" cm="1">
        <f t="array" ref="AJ37">(_xll.BDP(B37&amp;" Equity","SHORT_INT"))/((_xll.BDP(B37&amp;" Equity","EQY_FREE_FLOAT_PCT"))*(_xll.BDP(B37&amp;" Equity","EQY_SH_OUT_TOT_MULT_SH")))/100</f>
        <v>4.3190471797331673</v>
      </c>
      <c r="AK37" s="191" t="e" cm="1">
        <f t="array" ref="AK37">(_xll.BDP(C37&amp;" Equity","SHORT_INT"))/((_xll.BDP(C37&amp;" Equity","EQY_FREE_FLOAT_PCT"))*(_xll.BDP(C37&amp;" Equity","EQY_SH_OUT_TOT_MULT_SH")))/100</f>
        <v>#VALUE!</v>
      </c>
      <c r="AM37" s="189">
        <f ca="1">IF(ISTEXT(B37),AP37/_xll.BDH(B37 &amp;  " Equity","BEST_EPS",$AM$3,$AM$3,"BEST_FPERIOD_OVERRIDE=1BF","CDR=US","Fill=p")-1,"")</f>
        <v>1.4196479273140383E-2</v>
      </c>
      <c r="AN37" s="189">
        <f ca="1">IF(ISTEXT(B37),AP37/_xll.BDH(B37 &amp;  " Equity","BEST_EPS",$AN$3,$AN$3,"BEST_FPERIOD_OVERRIDE=1BF","CDR=US","Fill=p")-1,"")</f>
        <v>0.10144927536231885</v>
      </c>
      <c r="AO37" s="191">
        <f t="shared" ca="1" si="14"/>
        <v>21.147816349384101</v>
      </c>
      <c r="AP37" s="191" cm="1">
        <f t="array" aca="1" ref="AP37" ca="1">IF(ISTEXT(B37),_xll.BDH(B37 &amp;  " Equity","BEST_EPS",$Q$3,$Q$3,"BEST_FPERIOD_OVERRIDE=1BF","CDR=US","Fill=p"),"")</f>
        <v>3.5720000000000001</v>
      </c>
      <c r="AR37" s="189" t="e">
        <f ca="1">IF(ISTEXT(C37),AU37/_xll.BDH(C37 &amp;  " Equity","BEST_EPS",$AM$3,$AM$3,"BEST_FPERIOD_OVERRIDE=1BF","CDR=US","Fill=p")-1,"")</f>
        <v>#VALUE!</v>
      </c>
      <c r="AS37" s="189" t="e">
        <f ca="1">IF(ISTEXT(C37),AU37/_xll.BDH(C37 &amp;  " Equity","BEST_EPS",$AN$3,$AN$3,"BEST_FPERIOD_OVERRIDE=1BF","CDR=US","Fill=p")-1,"")</f>
        <v>#VALUE!</v>
      </c>
      <c r="AT37" s="191" t="e">
        <f t="shared" ca="1" si="15"/>
        <v>#VALUE!</v>
      </c>
      <c r="AU37" s="191" t="str" cm="1">
        <f t="array" aca="1" ref="AU37" ca="1">IF(ISTEXT(C37),_xll.BDH(C37 &amp;  " Equity","BEST_EPS",$Q$3,$Q$3,"BEST_FPERIOD_OVERRIDE=1BF","CDR=US","Fill=p"),"")</f>
        <v>#N/A N/A</v>
      </c>
    </row>
    <row r="38" spans="1:47">
      <c r="A38" t="str">
        <f t="shared" si="16"/>
        <v>.MARSP</v>
      </c>
      <c r="B38" s="181" t="s">
        <v>86</v>
      </c>
      <c r="C38" s="181" t="s">
        <v>3</v>
      </c>
      <c r="D38" s="181"/>
      <c r="E38" s="181"/>
      <c r="F38" s="181"/>
      <c r="G38" s="182" cm="1">
        <f t="array" ref="G38">_xll.BDP(B38&amp;" Equity","LAST PRICE")</f>
        <v>550.72</v>
      </c>
      <c r="H38" s="183" cm="1">
        <f t="array" ref="H38">G38/_xll.BDP(B38&amp;" Equity", "PREV_CLOSE_VAL")-1</f>
        <v>-8.3727965140356631E-3</v>
      </c>
      <c r="I38" s="182" cm="1">
        <f t="array" ref="I38">_xll.BDP(C38&amp;" Equity","LAST PRICE")</f>
        <v>198.57</v>
      </c>
      <c r="J38" s="183" cm="1">
        <f t="array" ref="J38">I38/_xll.BDP(C38&amp;" Equity", "PREV_CLOSE_VAL")-1</f>
        <v>-2.6619789050728038E-3</v>
      </c>
      <c r="K38" s="184">
        <f t="shared" si="9"/>
        <v>2.7734300246764367</v>
      </c>
      <c r="L38" s="183" cm="1">
        <f t="array" ref="L38">K38/(_xll.BDP(B38&amp;" Equity", "PREV_CLOSE_VAL")/_xll.BDP(C38&amp;" Equity", "PREV_CLOSE_VAL"))-1</f>
        <v>-5.7260602605856414E-3</v>
      </c>
      <c r="M38" s="183"/>
      <c r="N38" s="185">
        <f t="shared" si="10"/>
        <v>0.38558101272289669</v>
      </c>
      <c r="O38" s="186">
        <f t="shared" si="17"/>
        <v>1.4850472589792061E-2</v>
      </c>
      <c r="P38" s="187" cm="1">
        <f t="array" ref="P38">_xll.BDP($A38&amp;" Index","VOLATILITY_30D")</f>
        <v>23.567699999999999</v>
      </c>
      <c r="Q38" s="187" cm="1">
        <f t="array" aca="1" ref="Q38" ca="1">(_xll.BDP(($B38&amp; " Equity"),"CORR_COEF", "BETA_OVERRIDE_REL_INDEX",($C38&amp; " Equity"),"BETA_OVERRIDE_END_DT",$Q$5,"BETA_OVERRIDE_START_DT",$Q$4))*100</f>
        <v>60.217613936687698</v>
      </c>
      <c r="R38" s="183"/>
      <c r="S38" s="183" cm="1">
        <f t="array" ref="S38">_xll.BDP($A38&amp;" Index","CHG_PCT_2D")/100</f>
        <v>2.3200569999999997E-2</v>
      </c>
      <c r="T38" s="183" cm="1">
        <f t="array" ref="T38">_xll.BDP($A38&amp;" Index","CHG_PCT_5D")/100</f>
        <v>6.3884200000000002E-2</v>
      </c>
      <c r="U38" s="183" cm="1">
        <f t="array" ref="U38">K38/_xll.BDP($A38&amp;" Index","HIGH_52WEEK")-1</f>
        <v>-0.16441809835125853</v>
      </c>
      <c r="V38" s="183" cm="1">
        <f t="array" ref="V38">K38/_xll.BDP($A38&amp;" Index","LOW_52WEEK")-1</f>
        <v>6.0159410055785179E-2</v>
      </c>
      <c r="W38" s="183"/>
      <c r="X38" s="187" cm="1">
        <f t="array" ref="X38">_xll.BDP($A38&amp;" Index","RSI_14D")</f>
        <v>51.050930000000001</v>
      </c>
      <c r="Y38" s="188"/>
      <c r="Z38" s="189">
        <f t="shared" si="11"/>
        <v>-1</v>
      </c>
      <c r="AA38" s="188"/>
      <c r="AB38" s="189">
        <f t="shared" si="12"/>
        <v>-1</v>
      </c>
      <c r="AC38" s="188"/>
      <c r="AD38" s="183" t="e">
        <f t="shared" si="13"/>
        <v>#DIV/0!</v>
      </c>
      <c r="AE38" s="183"/>
      <c r="AF38" s="190">
        <f>IF(ISTEXT(B38),_xll.BDP(B38 &amp; " Equity","EXPECTED_REPORT_DT")*1,"")</f>
        <v>46143</v>
      </c>
      <c r="AG38" s="190" t="e">
        <f>IF(ISTEXT(C38),_xll.BDP(C38 &amp; " Equity","EXPECTED_REPORT_DT")*1,"")</f>
        <v>#VALUE!</v>
      </c>
      <c r="AH38" s="191" cm="1">
        <f t="array" ref="AH38">(_xll.BDP(B38&amp;" Equity","SHORT_INT")/_xll.BDP(B38&amp;" Equity","VOLUME_AVG_90D"))</f>
        <v>2.3341391514050596</v>
      </c>
      <c r="AI38" s="191" cm="1">
        <f t="array" ref="AI38">(_xll.BDP(C38&amp;" Equity","SHORT_INT")/_xll.BDP(C38&amp;" Equity","VOLUME_AVG_90D"))</f>
        <v>2.2194136398088471</v>
      </c>
      <c r="AJ38" s="191" cm="1">
        <f t="array" ref="AJ38">(_xll.BDP(B38&amp;" Equity","SHORT_INT"))/((_xll.BDP(B38&amp;" Equity","EQY_FREE_FLOAT_PCT"))*(_xll.BDP(B38&amp;" Equity","EQY_SH_OUT_TOT_MULT_SH")))/100</f>
        <v>0.87130229232761147</v>
      </c>
      <c r="AK38" s="191" t="e" cm="1">
        <f t="array" ref="AK38">(_xll.BDP(C38&amp;" Equity","SHORT_INT"))/((_xll.BDP(C38&amp;" Equity","EQY_FREE_FLOAT_PCT"))*(_xll.BDP(C38&amp;" Equity","EQY_SH_OUT_TOT_MULT_SH")))/100</f>
        <v>#VALUE!</v>
      </c>
      <c r="AM38" s="189">
        <f ca="1">IF(ISTEXT(B38),AP38/_xll.BDH(B38 &amp;  " Equity","BEST_EPS",$AM$3,$AM$3,"BEST_FPERIOD_OVERRIDE=1BF","CDR=US","Fill=p")-1,"")</f>
        <v>2.9891304347825942E-2</v>
      </c>
      <c r="AN38" s="189">
        <f ca="1">IF(ISTEXT(B38),AP38/_xll.BDH(B38 &amp;  " Equity","BEST_EPS",$AN$3,$AN$3,"BEST_FPERIOD_OVERRIDE=1BF","CDR=US","Fill=p")-1,"")</f>
        <v>5.4919173536023935E-2</v>
      </c>
      <c r="AO38" s="191">
        <f t="shared" ca="1" si="14"/>
        <v>27.943982139232801</v>
      </c>
      <c r="AP38" s="191" cm="1">
        <f t="array" aca="1" ref="AP38" ca="1">IF(ISTEXT(B38),_xll.BDH(B38 &amp;  " Equity","BEST_EPS",$Q$3,$Q$3,"BEST_FPERIOD_OVERRIDE=1BF","CDR=US","Fill=p"),"")</f>
        <v>19.707999999999998</v>
      </c>
      <c r="AR38" s="189" t="e">
        <f ca="1">IF(ISTEXT(C38),AU38/_xll.BDH(C38 &amp;  " Equity","BEST_EPS",$AM$3,$AM$3,"BEST_FPERIOD_OVERRIDE=1BF","CDR=US","Fill=p")-1,"")</f>
        <v>#VALUE!</v>
      </c>
      <c r="AS38" s="189" t="e">
        <f ca="1">IF(ISTEXT(C38),AU38/_xll.BDH(C38 &amp;  " Equity","BEST_EPS",$AN$3,$AN$3,"BEST_FPERIOD_OVERRIDE=1BF","CDR=US","Fill=p")-1,"")</f>
        <v>#VALUE!</v>
      </c>
      <c r="AT38" s="191" t="e">
        <f t="shared" ca="1" si="15"/>
        <v>#VALUE!</v>
      </c>
      <c r="AU38" s="191" t="str" cm="1">
        <f t="array" aca="1" ref="AU38" ca="1">IF(ISTEXT(C38),_xll.BDH(C38 &amp;  " Equity","BEST_EPS",$Q$3,$Q$3,"BEST_FPERIOD_OVERRIDE=1BF","CDR=US","Fill=p"),"")</f>
        <v>#N/A N/A</v>
      </c>
    </row>
    <row r="39" spans="1:47">
      <c r="A39" t="str">
        <f>"."&amp;B39&amp;C39</f>
        <v>.VRSP</v>
      </c>
      <c r="B39" s="181" t="s">
        <v>87</v>
      </c>
      <c r="C39" s="181" t="s">
        <v>3</v>
      </c>
      <c r="D39" s="181"/>
      <c r="E39" s="181"/>
      <c r="F39" s="181"/>
      <c r="G39" s="182" cm="1">
        <f t="array" ref="G39">_xll.BDP(B39&amp;" Equity","LAST PRICE")</f>
        <v>328.93</v>
      </c>
      <c r="H39" s="183" cm="1">
        <f t="array" ref="H39">G39/_xll.BDP(B39&amp;" Equity", "PREV_CLOSE_VAL")-1</f>
        <v>-1.4707644380541507E-2</v>
      </c>
      <c r="I39" s="182" cm="1">
        <f t="array" ref="I39">_xll.BDP(C39&amp;" Equity","LAST PRICE")</f>
        <v>198.57</v>
      </c>
      <c r="J39" s="183" cm="1">
        <f t="array" ref="J39">I39/_xll.BDP(C39&amp;" Equity", "PREV_CLOSE_VAL")-1</f>
        <v>-2.6619789050728038E-3</v>
      </c>
      <c r="K39" s="184">
        <f t="shared" si="9"/>
        <v>1.6564939316110188</v>
      </c>
      <c r="L39" s="183" cm="1">
        <f t="array" ref="L39">K39/(_xll.BDP(B39&amp;" Equity", "PREV_CLOSE_VAL")/_xll.BDP(C39&amp;" Equity", "PREV_CLOSE_VAL"))-1</f>
        <v>-1.2077816367859318E-2</v>
      </c>
      <c r="M39" s="183"/>
      <c r="N39" s="185">
        <f t="shared" si="10"/>
        <v>0.80847838886325119</v>
      </c>
      <c r="O39" s="186">
        <f>P39/15.87/100</f>
        <v>1.4938947700063014E-2</v>
      </c>
      <c r="P39" s="187" cm="1">
        <f t="array" ref="P39">_xll.BDP($A39&amp;" Index","VOLATILITY_30D")</f>
        <v>23.708110000000001</v>
      </c>
      <c r="Q39" s="187" cm="1">
        <f t="array" aca="1" ref="Q39" ca="1">(_xll.BDP(($B39&amp; " Equity"),"CORR_COEF", "BETA_OVERRIDE_REL_INDEX",($C39&amp; " Equity"),"BETA_OVERRIDE_END_DT",$Q$5,"BETA_OVERRIDE_START_DT",$Q$4))*100</f>
        <v>45.875066053846091</v>
      </c>
      <c r="R39" s="183"/>
      <c r="S39" s="183" cm="1">
        <f t="array" ref="S39">_xll.BDP($A39&amp;" Index","CHG_PCT_2D")/100</f>
        <v>2.4706600000000002E-2</v>
      </c>
      <c r="T39" s="183" cm="1">
        <f t="array" ref="T39">_xll.BDP($A39&amp;" Index","CHG_PCT_5D")/100</f>
        <v>1.8251449999999999E-2</v>
      </c>
      <c r="U39" s="183" cm="1">
        <f t="array" ref="U39">K39/_xll.BDP($A39&amp;" Index","HIGH_52WEEK")-1</f>
        <v>-0.20527836631163421</v>
      </c>
      <c r="V39" s="183" cm="1">
        <f t="array" ref="V39">K39/_xll.BDP($A39&amp;" Index","LOW_52WEEK")-1</f>
        <v>1.9537732950311693E-2</v>
      </c>
      <c r="W39" s="183"/>
      <c r="X39" s="187" cm="1">
        <f t="array" ref="X39">_xll.BDP($A39&amp;" Index","RSI_14D")</f>
        <v>45.640070000000001</v>
      </c>
      <c r="Y39" s="188"/>
      <c r="Z39" s="189">
        <f t="shared" si="11"/>
        <v>-1</v>
      </c>
      <c r="AA39" s="188"/>
      <c r="AB39" s="189">
        <f t="shared" si="12"/>
        <v>-1</v>
      </c>
      <c r="AC39" s="188"/>
      <c r="AD39" s="183" t="e">
        <f t="shared" si="13"/>
        <v>#DIV/0!</v>
      </c>
      <c r="AE39" s="183"/>
      <c r="AF39" s="190">
        <f>IF(ISTEXT(B39),_xll.BDP(B39 &amp; " Equity","EXPECTED_REPORT_DT")*1,"")</f>
        <v>46141</v>
      </c>
      <c r="AG39" s="190" t="e">
        <f>IF(ISTEXT(C39),_xll.BDP(C39 &amp; " Equity","EXPECTED_REPORT_DT")*1,"")</f>
        <v>#VALUE!</v>
      </c>
      <c r="AH39" s="191" cm="1">
        <f t="array" ref="AH39">(_xll.BDP(B39&amp;" Equity","SHORT_INT")/_xll.BDP(B39&amp;" Equity","VOLUME_AVG_90D"))</f>
        <v>3.3044466048537582</v>
      </c>
      <c r="AI39" s="191" cm="1">
        <f t="array" ref="AI39">(_xll.BDP(C39&amp;" Equity","SHORT_INT")/_xll.BDP(C39&amp;" Equity","VOLUME_AVG_90D"))</f>
        <v>2.2194136398088471</v>
      </c>
      <c r="AJ39" s="191" cm="1">
        <f t="array" ref="AJ39">(_xll.BDP(B39&amp;" Equity","SHORT_INT"))/((_xll.BDP(B39&amp;" Equity","EQY_FREE_FLOAT_PCT"))*(_xll.BDP(B39&amp;" Equity","EQY_SH_OUT_TOT_MULT_SH")))/100</f>
        <v>1.2231172169110915</v>
      </c>
      <c r="AK39" s="191" t="e" cm="1">
        <f t="array" ref="AK39">(_xll.BDP(C39&amp;" Equity","SHORT_INT"))/((_xll.BDP(C39&amp;" Equity","EQY_FREE_FLOAT_PCT"))*(_xll.BDP(C39&amp;" Equity","EQY_SH_OUT_TOT_MULT_SH")))/100</f>
        <v>#VALUE!</v>
      </c>
      <c r="AM39" s="189">
        <f ca="1">IF(ISTEXT(B39),AP39/_xll.BDH(B39 &amp;  " Equity","BEST_EPS",$AM$3,$AM$3,"BEST_FPERIOD_OVERRIDE=1BF","CDR=US","Fill=p")-1,"")</f>
        <v>1.6268159806295479E-2</v>
      </c>
      <c r="AN39" s="189">
        <f ca="1">IF(ISTEXT(B39),AP39/_xll.BDH(B39 &amp;  " Equity","BEST_EPS",$AN$3,$AN$3,"BEST_FPERIOD_OVERRIDE=1BF","CDR=US","Fill=p")-1,"")</f>
        <v>3.770377810399439E-2</v>
      </c>
      <c r="AO39" s="191">
        <f t="shared" ca="1" si="14"/>
        <v>24.490358126721766</v>
      </c>
      <c r="AP39" s="191" cm="1">
        <f t="array" aca="1" ref="AP39" ca="1">IF(ISTEXT(B39),_xll.BDH(B39 &amp;  " Equity","BEST_EPS",$Q$3,$Q$3,"BEST_FPERIOD_OVERRIDE=1BF","CDR=US","Fill=p"),"")</f>
        <v>13.430999999999999</v>
      </c>
      <c r="AR39" s="189" t="e">
        <f ca="1">IF(ISTEXT(C39),AU39/_xll.BDH(C39 &amp;  " Equity","BEST_EPS",$AM$3,$AM$3,"BEST_FPERIOD_OVERRIDE=1BF","CDR=US","Fill=p")-1,"")</f>
        <v>#VALUE!</v>
      </c>
      <c r="AS39" s="189" t="e">
        <f ca="1">IF(ISTEXT(C39),AU39/_xll.BDH(C39 &amp;  " Equity","BEST_EPS",$AN$3,$AN$3,"BEST_FPERIOD_OVERRIDE=1BF","CDR=US","Fill=p")-1,"")</f>
        <v>#VALUE!</v>
      </c>
      <c r="AT39" s="191" t="e">
        <f t="shared" ca="1" si="15"/>
        <v>#VALUE!</v>
      </c>
      <c r="AU39" s="191" t="str" cm="1">
        <f t="array" aca="1" ref="AU39" ca="1">IF(ISTEXT(C39),_xll.BDH(C39 &amp;  " Equity","BEST_EPS",$Q$3,$Q$3,"BEST_FPERIOD_OVERRIDE=1BF","CDR=US","Fill=p"),"")</f>
        <v>#N/A N/A</v>
      </c>
    </row>
    <row r="40" spans="1:47">
      <c r="A40" t="str">
        <f>"."&amp;B40&amp;C40</f>
        <v>.MAV</v>
      </c>
      <c r="B40" s="181" t="s">
        <v>86</v>
      </c>
      <c r="C40" s="181" t="s">
        <v>87</v>
      </c>
      <c r="D40" s="181"/>
      <c r="E40" s="181"/>
      <c r="F40" s="181"/>
      <c r="G40" s="182" cm="1">
        <f t="array" ref="G40">_xll.BDP(B40&amp;" Equity","LAST PRICE")</f>
        <v>550.72</v>
      </c>
      <c r="H40" s="183" cm="1">
        <f t="array" ref="H40">G40/_xll.BDP(B40&amp;" Equity", "PREV_CLOSE_VAL")-1</f>
        <v>-8.3727965140356631E-3</v>
      </c>
      <c r="I40" s="182" cm="1">
        <f t="array" ref="I40">_xll.BDP(C40&amp;" Equity","LAST PRICE")</f>
        <v>328.93</v>
      </c>
      <c r="J40" s="183" cm="1">
        <f t="array" ref="J40">I40/_xll.BDP(C40&amp;" Equity", "PREV_CLOSE_VAL")-1</f>
        <v>-1.4707644380541507E-2</v>
      </c>
      <c r="K40" s="184">
        <f t="shared" si="9"/>
        <v>1.6742772018362571</v>
      </c>
      <c r="L40" s="183" cm="1">
        <f t="array" ref="L40">K40/(_xll.BDP(B40&amp;" Equity", "PREV_CLOSE_VAL")/_xll.BDP(C40&amp;" Equity", "PREV_CLOSE_VAL"))-1</f>
        <v>6.4294093325458768E-3</v>
      </c>
      <c r="M40" s="183"/>
      <c r="N40" s="185">
        <f t="shared" si="10"/>
        <v>0.72267876746943871</v>
      </c>
      <c r="O40" s="186">
        <f>P40/15.87/100</f>
        <v>8.8966351606805296E-3</v>
      </c>
      <c r="P40" s="187" cm="1">
        <f t="array" ref="P40">_xll.BDP($A40&amp;" Index","VOLATILITY_30D")</f>
        <v>14.11896</v>
      </c>
      <c r="Q40" s="187" cm="1">
        <f t="array" aca="1" ref="Q40" ca="1">(_xll.BDP(($B40&amp; " Equity"),"CORR_COEF", "BETA_OVERRIDE_REL_INDEX",($C40&amp; " Equity"),"BETA_OVERRIDE_END_DT",$Q$5,"BETA_OVERRIDE_START_DT",$Q$4))*100</f>
        <v>85.628136034817643</v>
      </c>
      <c r="R40" s="183"/>
      <c r="S40" s="183" cm="1">
        <f t="array" ref="S40">_xll.BDP($A40&amp;" Index","CHG_PCT_2D")/100</f>
        <v>-1.394742E-3</v>
      </c>
      <c r="T40" s="183" cm="1">
        <f t="array" ref="T40">_xll.BDP($A40&amp;" Index","CHG_PCT_5D")/100</f>
        <v>4.4893010000000004E-2</v>
      </c>
      <c r="U40" s="183" cm="1">
        <f t="array" ref="U40">K40/_xll.BDP($A40&amp;" Index","HIGH_52WEEK")-1</f>
        <v>-3.3857178893645479E-2</v>
      </c>
      <c r="V40" s="183" cm="1">
        <f t="array" ref="V40">K40/_xll.BDP($A40&amp;" Index","LOW_52WEEK")-1</f>
        <v>9.5078979034905364E-2</v>
      </c>
      <c r="W40" s="183"/>
      <c r="X40" s="187" cm="1">
        <f t="array" ref="X40">_xll.BDP($A40&amp;" Index","RSI_14D")</f>
        <v>58.643619999999999</v>
      </c>
      <c r="Y40" s="188">
        <v>1.67</v>
      </c>
      <c r="Z40" s="183">
        <f t="shared" si="11"/>
        <v>-2.5546557234167322E-3</v>
      </c>
      <c r="AA40" s="188"/>
      <c r="AB40" s="189">
        <f t="shared" si="12"/>
        <v>-1</v>
      </c>
      <c r="AC40" s="188"/>
      <c r="AD40" s="183" t="e">
        <f t="shared" si="13"/>
        <v>#DIV/0!</v>
      </c>
      <c r="AE40" s="183"/>
      <c r="AF40" s="190">
        <f>IF(ISTEXT(B40),_xll.BDP(B40 &amp; " Equity","EXPECTED_REPORT_DT")*1,"")</f>
        <v>46143</v>
      </c>
      <c r="AG40" s="190">
        <f>IF(ISTEXT(C40),_xll.BDP(C40 &amp; " Equity","EXPECTED_REPORT_DT")*1,"")</f>
        <v>46141</v>
      </c>
      <c r="AH40" s="191" cm="1">
        <f t="array" ref="AH40">(_xll.BDP(B40&amp;" Equity","SHORT_INT")/_xll.BDP(B40&amp;" Equity","VOLUME_AVG_90D"))</f>
        <v>2.3341391514050596</v>
      </c>
      <c r="AI40" s="191" cm="1">
        <f t="array" ref="AI40">(_xll.BDP(C40&amp;" Equity","SHORT_INT")/_xll.BDP(C40&amp;" Equity","VOLUME_AVG_90D"))</f>
        <v>3.3044466048537582</v>
      </c>
      <c r="AJ40" s="191" cm="1">
        <f t="array" ref="AJ40">(_xll.BDP(B40&amp;" Equity","SHORT_INT"))/((_xll.BDP(B40&amp;" Equity","EQY_FREE_FLOAT_PCT"))*(_xll.BDP(B40&amp;" Equity","EQY_SH_OUT_TOT_MULT_SH")))/100</f>
        <v>0.87130229232761147</v>
      </c>
      <c r="AK40" s="191" cm="1">
        <f t="array" ref="AK40">(_xll.BDP(C40&amp;" Equity","SHORT_INT"))/((_xll.BDP(C40&amp;" Equity","EQY_FREE_FLOAT_PCT"))*(_xll.BDP(C40&amp;" Equity","EQY_SH_OUT_TOT_MULT_SH")))/100</f>
        <v>1.2231172169110915</v>
      </c>
      <c r="AM40" s="189">
        <f ca="1">IF(ISTEXT(B40),AP40/_xll.BDH(B40 &amp;  " Equity","BEST_EPS",$AM$3,$AM$3,"BEST_FPERIOD_OVERRIDE=1BF","CDR=US","Fill=p")-1,"")</f>
        <v>2.9891304347825942E-2</v>
      </c>
      <c r="AN40" s="189">
        <f ca="1">IF(ISTEXT(B40),AP40/_xll.BDH(B40 &amp;  " Equity","BEST_EPS",$AN$3,$AN$3,"BEST_FPERIOD_OVERRIDE=1BF","CDR=US","Fill=p")-1,"")</f>
        <v>5.4919173536023935E-2</v>
      </c>
      <c r="AO40" s="191">
        <f t="shared" ca="1" si="14"/>
        <v>27.943982139232801</v>
      </c>
      <c r="AP40" s="191" cm="1">
        <f t="array" aca="1" ref="AP40" ca="1">IF(ISTEXT(B40),_xll.BDH(B40 &amp;  " Equity","BEST_EPS",$Q$3,$Q$3,"BEST_FPERIOD_OVERRIDE=1BF","CDR=US","Fill=p"),"")</f>
        <v>19.707999999999998</v>
      </c>
      <c r="AR40" s="189">
        <f ca="1">IF(ISTEXT(C40),AU40/_xll.BDH(C40 &amp;  " Equity","BEST_EPS",$AM$3,$AM$3,"BEST_FPERIOD_OVERRIDE=1BF","CDR=US","Fill=p")-1,"")</f>
        <v>1.6268159806295479E-2</v>
      </c>
      <c r="AS40" s="189">
        <f ca="1">IF(ISTEXT(C40),AU40/_xll.BDH(C40 &amp;  " Equity","BEST_EPS",$AN$3,$AN$3,"BEST_FPERIOD_OVERRIDE=1BF","CDR=US","Fill=p")-1,"")</f>
        <v>3.770377810399439E-2</v>
      </c>
      <c r="AT40" s="191">
        <f t="shared" ca="1" si="15"/>
        <v>24.490358126721766</v>
      </c>
      <c r="AU40" s="191" cm="1">
        <f t="array" aca="1" ref="AU40" ca="1">IF(ISTEXT(C40),_xll.BDH(C40 &amp;  " Equity","BEST_EPS",$Q$3,$Q$3,"BEST_FPERIOD_OVERRIDE=1BF","CDR=US","Fill=p"),"")</f>
        <v>13.430999999999999</v>
      </c>
    </row>
    <row r="41" spans="1:47">
      <c r="A41" t="s">
        <v>139</v>
      </c>
      <c r="B41" s="181" t="s">
        <v>140</v>
      </c>
      <c r="C41" s="181" t="s">
        <v>135</v>
      </c>
      <c r="D41" s="181"/>
      <c r="E41" s="181"/>
      <c r="F41" s="181"/>
      <c r="G41" s="182" cm="1">
        <f t="array" ref="G41">_xll.BDP(B41&amp;" Equity","LAST PRICE")</f>
        <v>223.61</v>
      </c>
      <c r="H41" s="183" cm="1">
        <f t="array" ref="H41">G41/_xll.BDP(B41&amp;" Equity", "PREV_CLOSE_VAL")-1</f>
        <v>2.3480410106188288E-2</v>
      </c>
      <c r="I41" s="182" cm="1">
        <f t="array" ref="I41">_xll.BDP(C41&amp;" Equity","LAST PRICE")</f>
        <v>616.52</v>
      </c>
      <c r="J41" s="183" cm="1">
        <f t="array" ref="J41">I41/_xll.BDP(C41&amp;" Equity", "PREV_CLOSE_VAL")-1</f>
        <v>-1.536397610757978E-2</v>
      </c>
      <c r="K41" s="184">
        <f t="shared" si="9"/>
        <v>0.36269707389865702</v>
      </c>
      <c r="L41" s="183" cm="1">
        <f t="array" ref="L41">K41/(_xll.BDP(B41&amp;" Equity", "PREV_CLOSE_VAL")/_xll.BDP(C41&amp;" Equity", "PREV_CLOSE_VAL"))-1</f>
        <v>3.9450502796160247E-2</v>
      </c>
      <c r="M41" s="183"/>
      <c r="N41" s="185">
        <f t="shared" si="10"/>
        <v>2.8362974589143026</v>
      </c>
      <c r="O41" s="186">
        <f t="shared" si="17"/>
        <v>1.390915563957152E-2</v>
      </c>
      <c r="P41" s="187" cm="1">
        <f t="array" ref="P41">_xll.BDP($A41&amp;" Index","VOLATILITY_30D")</f>
        <v>22.073830000000001</v>
      </c>
      <c r="Q41" s="187" cm="1">
        <f t="array" aca="1" ref="Q41" ca="1">(_xll.BDP(($B41&amp; " Equity"),"CORR_COEF", "BETA_OVERRIDE_REL_INDEX",($C41&amp; " Equity"),"BETA_OVERRIDE_END_DT",$Q$5,"BETA_OVERRIDE_START_DT",$Q$4))*100</f>
        <v>55.981960000000001</v>
      </c>
      <c r="R41" s="183"/>
      <c r="S41" s="183" cm="1">
        <f t="array" ref="S41">_xll.BDP($A41&amp;" Index","CHG_PCT_2D")/100</f>
        <v>2.4158219999999998E-2</v>
      </c>
      <c r="T41" s="183" cm="1">
        <f t="array" ref="T41">_xll.BDP($A41&amp;" Index","CHG_PCT_5D")/100</f>
        <v>3.3346889999999997E-2</v>
      </c>
      <c r="U41" s="183" cm="1">
        <f t="array" ref="U41">K41/_xll.BDP($A41&amp;" Index","HIGH_52WEEK")-1</f>
        <v>-3.0688241224391954E-2</v>
      </c>
      <c r="V41" s="183" cm="1">
        <f t="array" ref="V41">K41/_xll.BDP($A41&amp;" Index","LOW_52WEEK")-1</f>
        <v>0.34327274507854177</v>
      </c>
      <c r="W41" s="183"/>
      <c r="X41" s="187" cm="1">
        <f t="array" ref="X41">_xll.BDP($A41&amp;" Index","RSI_14D")</f>
        <v>53.025559999999999</v>
      </c>
      <c r="Y41" s="188"/>
      <c r="Z41" s="189">
        <f t="shared" si="11"/>
        <v>-1</v>
      </c>
      <c r="AA41" s="188"/>
      <c r="AB41" s="189">
        <f t="shared" si="12"/>
        <v>-1</v>
      </c>
      <c r="AC41" s="188"/>
      <c r="AD41" s="183" t="e">
        <f t="shared" si="13"/>
        <v>#DIV/0!</v>
      </c>
      <c r="AE41" s="183"/>
      <c r="AF41" s="190" t="e">
        <f>IF(ISTEXT(B41),_xll.BDP(B41 &amp; " Equity","EXPECTED_REPORT_DT")*1,"")</f>
        <v>#VALUE!</v>
      </c>
      <c r="AG41" s="190" t="e">
        <f>IF(ISTEXT(C41),_xll.BDP(C41 &amp; " Equity","EXPECTED_REPORT_DT")*1,"")</f>
        <v>#VALUE!</v>
      </c>
      <c r="AH41" s="191" t="e" cm="1">
        <f t="array" ref="AH41">(_xll.BDP(B41&amp;" Equity","SHORT_INT")/_xll.BDP(B41&amp;" Equity","VOLUME_AVG_90D"))</f>
        <v>#VALUE!</v>
      </c>
      <c r="AI41" s="191" cm="1">
        <f t="array" ref="AI41">(_xll.BDP(C41&amp;" Equity","SHORT_INT")/_xll.BDP(C41&amp;" Equity","VOLUME_AVG_90D"))</f>
        <v>0.80858183712713494</v>
      </c>
      <c r="AJ41" s="191" t="e" cm="1">
        <f t="array" ref="AJ41">(_xll.BDP(B41&amp;" Equity","SHORT_INT"))/((_xll.BDP(B41&amp;" Equity","EQY_FREE_FLOAT_PCT"))*(_xll.BDP(B41&amp;" Equity","EQY_SH_OUT_TOT_MULT_SH")))/100</f>
        <v>#VALUE!</v>
      </c>
      <c r="AK41" s="191" t="e" cm="1">
        <f t="array" ref="AK41">(_xll.BDP(C41&amp;" Equity","SHORT_INT"))/((_xll.BDP(C41&amp;" Equity","EQY_FREE_FLOAT_PCT"))*(_xll.BDP(C41&amp;" Equity","EQY_SH_OUT_TOT_MULT_SH")))/100</f>
        <v>#VALUE!</v>
      </c>
      <c r="AM41" s="189">
        <f ca="1">IF(ISTEXT(B41),AP41/_xll.BDH(B41 &amp;  " Equity","BEST_EPS",$AM$3,$AM$3,"BEST_FPERIOD_OVERRIDE=1BF","CDR=US","Fill=p")-1,"")</f>
        <v>5.3465788592477193E-3</v>
      </c>
      <c r="AN41" s="189">
        <f ca="1">IF(ISTEXT(B41),AP41/_xll.BDH(B41 &amp;  " Equity","BEST_EPS",$AN$3,$AN$3,"BEST_FPERIOD_OVERRIDE=1BF","CDR=US","Fill=p")-1,"")</f>
        <v>5.2662950106938666E-2</v>
      </c>
      <c r="AO41" s="191">
        <f t="shared" ca="1" si="14"/>
        <v>24.826521888774163</v>
      </c>
      <c r="AP41" s="191" cm="1">
        <f t="array" aca="1" ref="AP41" ca="1">IF(ISTEXT(B41),_xll.BDH(B41 &amp;  " Equity","BEST_EPS",$Q$3,$Q$3,"BEST_FPERIOD_OVERRIDE=1BF","CDR=US","Fill=p"),"")</f>
        <v>9.0068999999999999</v>
      </c>
      <c r="AR41" s="189" t="e">
        <f ca="1">IF(ISTEXT(C41),AU41/_xll.BDH(C41 &amp;  " Equity","BEST_EPS",$AM$3,$AM$3,"BEST_FPERIOD_OVERRIDE=1BF","CDR=US","Fill=p")-1,"")</f>
        <v>#VALUE!</v>
      </c>
      <c r="AS41" s="189" t="e">
        <f ca="1">IF(ISTEXT(C41),AU41/_xll.BDH(C41 &amp;  " Equity","BEST_EPS",$AN$3,$AN$3,"BEST_FPERIOD_OVERRIDE=1BF","CDR=US","Fill=p")-1,"")</f>
        <v>#VALUE!</v>
      </c>
      <c r="AT41" s="191" t="e">
        <f t="shared" ca="1" si="15"/>
        <v>#VALUE!</v>
      </c>
      <c r="AU41" s="191" t="str" cm="1">
        <f t="array" aca="1" ref="AU41" ca="1">IF(ISTEXT(C41),_xll.BDH(C41 &amp;  " Equity","BEST_EPS",$Q$3,$Q$3,"BEST_FPERIOD_OVERRIDE=1BF","CDR=US","Fill=p"),"")</f>
        <v>#N/A N/A</v>
      </c>
    </row>
    <row r="42" spans="1:47">
      <c r="A42" t="s">
        <v>141</v>
      </c>
      <c r="B42" s="181" t="s">
        <v>140</v>
      </c>
      <c r="C42" s="181" t="s">
        <v>142</v>
      </c>
      <c r="D42" s="181"/>
      <c r="E42" s="181"/>
      <c r="F42" s="181"/>
      <c r="G42" s="182" cm="1">
        <f t="array" ref="G42">_xll.BDP(B42&amp;" Equity","LAST PRICE")</f>
        <v>223.61</v>
      </c>
      <c r="H42" s="183" cm="1">
        <f t="array" ref="H42">G42/_xll.BDP(B42&amp;" Equity", "PREV_CLOSE_VAL")-1</f>
        <v>2.3480410106188288E-2</v>
      </c>
      <c r="I42" s="182" cm="1">
        <f t="array" ref="I42">_xll.BDP(C42&amp;" Equity","LAST PRICE")</f>
        <v>43.24</v>
      </c>
      <c r="J42" s="183" cm="1">
        <f t="array" ref="J42">I42/_xll.BDP(C42&amp;" Equity", "PREV_CLOSE_VAL")-1</f>
        <v>1.4547160957297134E-2</v>
      </c>
      <c r="K42" s="184">
        <f t="shared" ref="K42:K55" si="18">G42/I42</f>
        <v>5.1713691026827009</v>
      </c>
      <c r="L42" s="183" cm="1">
        <f t="array" ref="L42">K42/(_xll.BDP(B42&amp;" Equity", "PREV_CLOSE_VAL")/_xll.BDP(C42&amp;" Equity", "PREV_CLOSE_VAL"))-1</f>
        <v>8.8051590824638204E-3</v>
      </c>
      <c r="M42" s="183"/>
      <c r="N42" s="185">
        <f t="shared" ref="N42:N55" si="19">ABS(L42/O42)</f>
        <v>0.82708036686313602</v>
      </c>
      <c r="O42" s="186">
        <f t="shared" si="17"/>
        <v>1.0646074354127287E-2</v>
      </c>
      <c r="P42" s="187" cm="1">
        <f t="array" ref="P42">_xll.BDP($A42&amp;" Index","VOLATILITY_30D")</f>
        <v>16.895320000000002</v>
      </c>
      <c r="Q42" s="187" cm="1">
        <f t="array" aca="1" ref="Q42" ca="1">(_xll.BDP(($B42&amp; " Equity"),"CORR_COEF", "BETA_OVERRIDE_REL_INDEX",($C42&amp; " Equity"),"BETA_OVERRIDE_END_DT",$Q$5,"BETA_OVERRIDE_START_DT",$Q$4))*100</f>
        <v>62.354390000000002</v>
      </c>
      <c r="R42" s="183"/>
      <c r="S42" s="183" cm="1">
        <f t="array" ref="S42">_xll.BDP($A42&amp;" Index","CHG_PCT_2D")/100</f>
        <v>1.5986629999999998E-2</v>
      </c>
      <c r="T42" s="183" cm="1">
        <f t="array" ref="T42">_xll.BDP($A42&amp;" Index","CHG_PCT_5D")/100</f>
        <v>1.4265140000000001E-2</v>
      </c>
      <c r="U42" s="183" cm="1">
        <f t="array" ref="U42">K42/_xll.BDP($A42&amp;" Index","HIGH_52WEEK")-1</f>
        <v>-2.5134822385037836E-3</v>
      </c>
      <c r="V42" s="183" cm="1">
        <f t="array" ref="V42">K42/_xll.BDP($A42&amp;" Index","LOW_52WEEK")-1</f>
        <v>0.58011510174307501</v>
      </c>
      <c r="W42" s="183"/>
      <c r="X42" s="187" cm="1">
        <f t="array" ref="X42">_xll.BDP($A42&amp;" Index","RSI_14D")</f>
        <v>59.603900000000003</v>
      </c>
      <c r="Y42" s="188"/>
      <c r="Z42" s="189">
        <f t="shared" ref="Z42:Z55" si="20">Y42/K42-1</f>
        <v>-1</v>
      </c>
      <c r="AA42" s="188"/>
      <c r="AB42" s="189">
        <f t="shared" ref="AB42:AB55" si="21">AA42/K42-1</f>
        <v>-1</v>
      </c>
      <c r="AC42" s="188"/>
      <c r="AD42" s="183" t="e">
        <f t="shared" ref="AD42:AD55" si="22">K42/AC42-1</f>
        <v>#DIV/0!</v>
      </c>
      <c r="AE42" s="183"/>
      <c r="AF42" s="190" t="e">
        <f>IF(ISTEXT(B42),_xll.BDP(B42 &amp; " Equity","EXPECTED_REPORT_DT")*1,"")</f>
        <v>#VALUE!</v>
      </c>
      <c r="AG42" s="190" t="e">
        <f>IF(ISTEXT(C42),_xll.BDP(C42 &amp; " Equity","EXPECTED_REPORT_DT")*1,"")</f>
        <v>#VALUE!</v>
      </c>
      <c r="AH42" s="191" t="e" cm="1">
        <f t="array" ref="AH42">(_xll.BDP(B42&amp;" Equity","SHORT_INT")/_xll.BDP(B42&amp;" Equity","VOLUME_AVG_90D"))</f>
        <v>#VALUE!</v>
      </c>
      <c r="AI42" s="191" cm="1">
        <f t="array" ref="AI42">(_xll.BDP(C42&amp;" Equity","SHORT_INT")/_xll.BDP(C42&amp;" Equity","VOLUME_AVG_90D"))</f>
        <v>1.0743107547203807</v>
      </c>
      <c r="AJ42" s="191" t="e" cm="1">
        <f t="array" ref="AJ42">(_xll.BDP(B42&amp;" Equity","SHORT_INT"))/((_xll.BDP(B42&amp;" Equity","EQY_FREE_FLOAT_PCT"))*(_xll.BDP(B42&amp;" Equity","EQY_SH_OUT_TOT_MULT_SH")))/100</f>
        <v>#VALUE!</v>
      </c>
      <c r="AK42" s="191" t="e" cm="1">
        <f t="array" ref="AK42">(_xll.BDP(C42&amp;" Equity","SHORT_INT"))/((_xll.BDP(C42&amp;" Equity","EQY_FREE_FLOAT_PCT"))*(_xll.BDP(C42&amp;" Equity","EQY_SH_OUT_TOT_MULT_SH")))/100</f>
        <v>#VALUE!</v>
      </c>
      <c r="AM42" s="189">
        <f ca="1">IF(ISTEXT(B42),AP42/_xll.BDH(B42 &amp;  " Equity","BEST_EPS",$AM$3,$AM$3,"BEST_FPERIOD_OVERRIDE=1BF","CDR=US","Fill=p")-1,"")</f>
        <v>5.3465788592477193E-3</v>
      </c>
      <c r="AN42" s="189">
        <f ca="1">IF(ISTEXT(B42),AP42/_xll.BDH(B42 &amp;  " Equity","BEST_EPS",$AN$3,$AN$3,"BEST_FPERIOD_OVERRIDE=1BF","CDR=US","Fill=p")-1,"")</f>
        <v>5.2662950106938666E-2</v>
      </c>
      <c r="AO42" s="191">
        <f t="shared" ref="AO42:AO55" ca="1" si="23">G42/AP42</f>
        <v>24.826521888774163</v>
      </c>
      <c r="AP42" s="191" cm="1">
        <f t="array" aca="1" ref="AP42" ca="1">IF(ISTEXT(B42),_xll.BDH(B42 &amp;  " Equity","BEST_EPS",$Q$3,$Q$3,"BEST_FPERIOD_OVERRIDE=1BF","CDR=US","Fill=p"),"")</f>
        <v>9.0068999999999999</v>
      </c>
      <c r="AR42" s="189" t="e">
        <f ca="1">IF(ISTEXT(C42),AU42/_xll.BDH(C42 &amp;  " Equity","BEST_EPS",$AM$3,$AM$3,"BEST_FPERIOD_OVERRIDE=1BF","CDR=US","Fill=p")-1,"")</f>
        <v>#VALUE!</v>
      </c>
      <c r="AS42" s="189" t="e">
        <f ca="1">IF(ISTEXT(C42),AU42/_xll.BDH(C42 &amp;  " Equity","BEST_EPS",$AN$3,$AN$3,"BEST_FPERIOD_OVERRIDE=1BF","CDR=US","Fill=p")-1,"")</f>
        <v>#VALUE!</v>
      </c>
      <c r="AT42" s="191" t="e">
        <f t="shared" ref="AT42:AT55" ca="1" si="24">I42/AU42</f>
        <v>#VALUE!</v>
      </c>
      <c r="AU42" s="191" t="str" cm="1">
        <f t="array" aca="1" ref="AU42" ca="1">IF(ISTEXT(C42),_xll.BDH(C42 &amp;  " Equity","BEST_EPS",$Q$3,$Q$3,"BEST_FPERIOD_OVERRIDE=1BF","CDR=US","Fill=p"),"")</f>
        <v>#N/A N/A</v>
      </c>
    </row>
    <row r="43" spans="1:47">
      <c r="B43" s="181"/>
      <c r="C43" s="181"/>
      <c r="D43" s="181"/>
      <c r="E43" s="181"/>
      <c r="F43" s="181"/>
      <c r="G43" s="182"/>
      <c r="H43" s="183"/>
      <c r="I43" s="182"/>
      <c r="J43" s="183"/>
      <c r="K43" s="184"/>
      <c r="L43" s="183"/>
      <c r="M43" s="183"/>
      <c r="N43" s="185"/>
      <c r="O43" s="186"/>
      <c r="P43" s="187"/>
      <c r="Q43" s="187"/>
      <c r="R43" s="183"/>
      <c r="S43" s="183"/>
      <c r="T43" s="183"/>
      <c r="U43" s="183"/>
      <c r="V43" s="183"/>
      <c r="W43" s="183"/>
      <c r="X43" s="187"/>
      <c r="Y43" s="188"/>
      <c r="Z43" s="189"/>
      <c r="AA43" s="188"/>
      <c r="AB43" s="189"/>
      <c r="AC43" s="188"/>
      <c r="AD43" s="183"/>
      <c r="AE43" s="183"/>
      <c r="AF43" s="190"/>
      <c r="AG43" s="190"/>
      <c r="AH43" s="191"/>
      <c r="AI43" s="191"/>
      <c r="AJ43" s="191"/>
      <c r="AK43" s="191"/>
      <c r="AM43" s="189"/>
      <c r="AN43" s="189"/>
      <c r="AO43" s="191"/>
      <c r="AP43" s="191"/>
      <c r="AR43" s="189"/>
      <c r="AS43" s="189"/>
      <c r="AT43" s="191"/>
      <c r="AU43" s="191"/>
    </row>
    <row r="44" spans="1:47">
      <c r="A44" t="str">
        <f t="shared" ref="A44:A53" si="25">"."&amp;B44&amp;C44</f>
        <v>.SPYRSP</v>
      </c>
      <c r="B44" s="181" t="s">
        <v>0</v>
      </c>
      <c r="C44" s="181" t="s">
        <v>3</v>
      </c>
      <c r="D44" s="181"/>
      <c r="E44" s="181"/>
      <c r="F44" s="181" t="s">
        <v>78</v>
      </c>
      <c r="G44" s="182" cm="1">
        <f t="array" ref="G44">_xll.BDP(B44&amp;" Equity","LAST PRICE")</f>
        <v>689.53</v>
      </c>
      <c r="H44" s="183" cm="1">
        <f t="array" ref="H44">G44/_xll.BDP(B44&amp;" Equity", "PREV_CLOSE_VAL")-1</f>
        <v>-8.4554435512862458E-3</v>
      </c>
      <c r="I44" s="182" cm="1">
        <f t="array" ref="I44">_xll.BDP(C44&amp;" Equity","LAST PRICE")</f>
        <v>198.57</v>
      </c>
      <c r="J44" s="183" cm="1">
        <f t="array" ref="J44">I44/_xll.BDP(C44&amp;" Equity", "PREV_CLOSE_VAL")-1</f>
        <v>-2.6619789050728038E-3</v>
      </c>
      <c r="K44" s="184">
        <f t="shared" si="18"/>
        <v>3.4724782192677646</v>
      </c>
      <c r="L44" s="183" cm="1">
        <f t="array" ref="L44">K44/(_xll.BDP(B44&amp;" Equity", "PREV_CLOSE_VAL")/_xll.BDP(C44&amp;" Equity", "PREV_CLOSE_VAL"))-1</f>
        <v>-5.808927889716986E-3</v>
      </c>
      <c r="M44" s="183"/>
      <c r="N44" s="185">
        <f t="shared" si="19"/>
        <v>1.2904111965796534</v>
      </c>
      <c r="O44" s="186">
        <f t="shared" si="17"/>
        <v>4.5016099558916195E-3</v>
      </c>
      <c r="P44" s="187" cm="1">
        <f t="array" ref="P44">_xll.BDP($A44&amp;" Index","VOLATILITY_30D")</f>
        <v>7.1440549999999998</v>
      </c>
      <c r="Q44" s="187" cm="1">
        <f t="array" aca="1" ref="Q44" ca="1">(_xll.BDP(($B44&amp; " Equity"),"CORR_COEF", "BETA_OVERRIDE_REL_INDEX",($C44&amp; " Equity"),"BETA_OVERRIDE_END_DT",$Q$5,"BETA_OVERRIDE_START_DT",$Q$4))*100</f>
        <v>74.627409941666144</v>
      </c>
      <c r="R44" s="183"/>
      <c r="S44" s="183" cm="1">
        <f t="array" ref="S44">_xll.BDP($A44&amp;" Index","CHG_PCT_2D")/100</f>
        <v>-6.0419869999999995E-3</v>
      </c>
      <c r="T44" s="183" cm="1">
        <f t="array" ref="T44">_xll.BDP($A44&amp;" Index","CHG_PCT_5D")/100</f>
        <v>-6.8286470000000002E-3</v>
      </c>
      <c r="U44" s="183" cm="1">
        <f t="array" ref="U44">K44/_xll.BDP($A44&amp;" Index","HIGH_52WEEK")-1</f>
        <v>-4.8615252041753099E-2</v>
      </c>
      <c r="V44" s="183" cm="1">
        <f t="array" ref="V44">K44/_xll.BDP($A44&amp;" Index","LOW_52WEEK")-1</f>
        <v>8.0200773726541774E-2</v>
      </c>
      <c r="W44" s="183"/>
      <c r="X44" s="187" cm="1">
        <f t="array" ref="X44">_xll.BDP($A44&amp;" Index","RSI_14D")</f>
        <v>46.858930000000001</v>
      </c>
      <c r="Y44" s="188"/>
      <c r="Z44" s="189">
        <f t="shared" si="20"/>
        <v>-1</v>
      </c>
      <c r="AA44" s="188"/>
      <c r="AB44" s="189">
        <f t="shared" si="21"/>
        <v>-1</v>
      </c>
      <c r="AC44" s="188"/>
      <c r="AD44" s="183" t="e">
        <f t="shared" si="22"/>
        <v>#DIV/0!</v>
      </c>
      <c r="AE44" s="183"/>
      <c r="AF44" s="190" t="e">
        <f>IF(ISTEXT(B44),_xll.BDP(B44 &amp; " Equity","EXPECTED_REPORT_DT")*1,"")</f>
        <v>#VALUE!</v>
      </c>
      <c r="AG44" s="190" t="e">
        <f>IF(ISTEXT(C44),_xll.BDP(C44 &amp; " Equity","EXPECTED_REPORT_DT")*1,"")</f>
        <v>#VALUE!</v>
      </c>
      <c r="AH44" s="191" cm="1">
        <f t="array" ref="AH44">(_xll.BDP(B44&amp;" Equity","SHORT_INT")/_xll.BDP(B44&amp;" Equity","VOLUME_AVG_90D"))</f>
        <v>1.3531936707607752</v>
      </c>
      <c r="AI44" s="191" cm="1">
        <f t="array" ref="AI44">(_xll.BDP(C44&amp;" Equity","SHORT_INT")/_xll.BDP(C44&amp;" Equity","VOLUME_AVG_90D"))</f>
        <v>2.2194136398088471</v>
      </c>
      <c r="AJ44" s="191" t="e" cm="1">
        <f t="array" ref="AJ44">(_xll.BDP(B44&amp;" Equity","SHORT_INT"))/((_xll.BDP(B44&amp;" Equity","EQY_FREE_FLOAT_PCT"))*(_xll.BDP(B44&amp;" Equity","EQY_SH_OUT_TOT_MULT_SH")))/100</f>
        <v>#VALUE!</v>
      </c>
      <c r="AK44" s="191" t="e" cm="1">
        <f t="array" ref="AK44">(_xll.BDP(C44&amp;" Equity","SHORT_INT"))/((_xll.BDP(C44&amp;" Equity","EQY_FREE_FLOAT_PCT"))*(_xll.BDP(C44&amp;" Equity","EQY_SH_OUT_TOT_MULT_SH")))/100</f>
        <v>#VALUE!</v>
      </c>
      <c r="AM44" s="189" t="e">
        <f ca="1">IF(ISTEXT(B44),AP44/_xll.BDH(B44 &amp;  " Equity","BEST_EPS",$AM$3,$AM$3,"BEST_FPERIOD_OVERRIDE=1BF","CDR=US","Fill=p")-1,"")</f>
        <v>#VALUE!</v>
      </c>
      <c r="AN44" s="189" t="e">
        <f ca="1">IF(ISTEXT(B44),AP44/_xll.BDH(B44 &amp;  " Equity","BEST_EPS",$AN$3,$AN$3,"BEST_FPERIOD_OVERRIDE=1BF","CDR=US","Fill=p")-1,"")</f>
        <v>#VALUE!</v>
      </c>
      <c r="AO44" s="191" t="e">
        <f t="shared" ca="1" si="23"/>
        <v>#VALUE!</v>
      </c>
      <c r="AP44" s="191" t="str" cm="1">
        <f t="array" aca="1" ref="AP44" ca="1">IF(ISTEXT(B44),_xll.BDH(B44 &amp;  " Equity","BEST_EPS",$Q$3,$Q$3,"BEST_FPERIOD_OVERRIDE=1BF","CDR=US","Fill=p"),"")</f>
        <v>#N/A N/A</v>
      </c>
      <c r="AR44" s="189" t="e">
        <f ca="1">IF(ISTEXT(C44),AU44/_xll.BDH(C44 &amp;  " Equity","BEST_EPS",$AM$3,$AM$3,"BEST_FPERIOD_OVERRIDE=1BF","CDR=US","Fill=p")-1,"")</f>
        <v>#VALUE!</v>
      </c>
      <c r="AS44" s="189" t="e">
        <f ca="1">IF(ISTEXT(C44),AU44/_xll.BDH(C44 &amp;  " Equity","BEST_EPS",$AN$3,$AN$3,"BEST_FPERIOD_OVERRIDE=1BF","CDR=US","Fill=p")-1,"")</f>
        <v>#VALUE!</v>
      </c>
      <c r="AT44" s="191" t="e">
        <f t="shared" ca="1" si="24"/>
        <v>#VALUE!</v>
      </c>
      <c r="AU44" s="191" t="str" cm="1">
        <f t="array" aca="1" ref="AU44" ca="1">IF(ISTEXT(C44),_xll.BDH(C44 &amp;  " Equity","BEST_EPS",$Q$3,$Q$3,"BEST_FPERIOD_OVERRIDE=1BF","CDR=US","Fill=p"),"")</f>
        <v>#N/A N/A</v>
      </c>
    </row>
    <row r="45" spans="1:47">
      <c r="A45" t="str">
        <f t="shared" si="25"/>
        <v>.QQQQQQE</v>
      </c>
      <c r="B45" s="181" t="s">
        <v>135</v>
      </c>
      <c r="C45" s="181" t="s">
        <v>143</v>
      </c>
      <c r="D45" s="181"/>
      <c r="E45" s="181"/>
      <c r="F45" s="181" t="s">
        <v>78</v>
      </c>
      <c r="G45" s="182" cm="1">
        <f t="array" ref="G45">_xll.BDP(B45&amp;" Equity","LAST PRICE")</f>
        <v>616.52</v>
      </c>
      <c r="H45" s="183" cm="1">
        <f t="array" ref="H45">G45/_xll.BDP(B45&amp;" Equity", "PREV_CLOSE_VAL")-1</f>
        <v>-1.536397610757978E-2</v>
      </c>
      <c r="I45" s="182" cm="1">
        <f t="array" ref="I45">_xll.BDP(C45&amp;" Equity","LAST PRICE")</f>
        <v>102.6</v>
      </c>
      <c r="J45" s="183" cm="1">
        <f t="array" ref="J45">I45/_xll.BDP(C45&amp;" Equity", "PREV_CLOSE_VAL")-1</f>
        <v>-1.8557489955997819E-2</v>
      </c>
      <c r="K45" s="184">
        <f t="shared" si="18"/>
        <v>6.0089668615984406</v>
      </c>
      <c r="L45" s="183" cm="1">
        <f t="array" ref="L45">K45/(_xll.BDP(B45&amp;" Equity", "PREV_CLOSE_VAL")/_xll.BDP(C45&amp;" Equity", "PREV_CLOSE_VAL"))-1</f>
        <v>3.2538980283978169E-3</v>
      </c>
      <c r="M45" s="183"/>
      <c r="N45" s="185">
        <f t="shared" si="19"/>
        <v>0.84556688740547192</v>
      </c>
      <c r="O45" s="186">
        <f t="shared" si="17"/>
        <v>3.8481852551984878E-3</v>
      </c>
      <c r="P45" s="187" cm="1">
        <f t="array" ref="P45">_xll.BDP($A45&amp;" Index","VOLATILITY_30D")</f>
        <v>6.1070700000000002</v>
      </c>
      <c r="Q45" s="187" cm="1">
        <f t="array" aca="1" ref="Q45" ca="1">(_xll.BDP(($B45&amp; " Equity"),"CORR_COEF", "BETA_OVERRIDE_REL_INDEX",($C45&amp; " Equity"),"BETA_OVERRIDE_END_DT",$Q$5,"BETA_OVERRIDE_START_DT",$Q$4))*100</f>
        <v>89.609844288583631</v>
      </c>
      <c r="R45" s="183"/>
      <c r="S45" s="183" cm="1">
        <f t="array" ref="S45">_xll.BDP($A45&amp;" Index","CHG_PCT_2D")/100</f>
        <v>4.0265559999999997E-3</v>
      </c>
      <c r="T45" s="183" cm="1">
        <f t="array" ref="T45">_xll.BDP($A45&amp;" Index","CHG_PCT_5D")/100</f>
        <v>9.0107659999999999E-3</v>
      </c>
      <c r="U45" s="183" cm="1">
        <f t="array" ref="U45">K45/_xll.BDP($A45&amp;" Index","HIGH_52WEEK")-1</f>
        <v>-1.7045679803041613E-2</v>
      </c>
      <c r="V45" s="183" cm="1">
        <f t="array" ref="V45">K45/_xll.BDP($A45&amp;" Index","LOW_52WEEK")-1</f>
        <v>0.12255030144040679</v>
      </c>
      <c r="W45" s="183"/>
      <c r="X45" s="187" cm="1">
        <f t="array" ref="X45">_xll.BDP($A45&amp;" Index","RSI_14D")</f>
        <v>56.074069999999999</v>
      </c>
      <c r="Y45" s="188"/>
      <c r="Z45" s="189">
        <f t="shared" si="20"/>
        <v>-1</v>
      </c>
      <c r="AA45" s="188"/>
      <c r="AB45" s="189">
        <f t="shared" si="21"/>
        <v>-1</v>
      </c>
      <c r="AC45" s="188"/>
      <c r="AD45" s="183" t="e">
        <f t="shared" si="22"/>
        <v>#DIV/0!</v>
      </c>
      <c r="AE45" s="183"/>
      <c r="AF45" s="190" t="e">
        <f>IF(ISTEXT(B45),_xll.BDP(B45 &amp; " Equity","EXPECTED_REPORT_DT")*1,"")</f>
        <v>#VALUE!</v>
      </c>
      <c r="AG45" s="190" t="e">
        <f>IF(ISTEXT(C45),_xll.BDP(C45 &amp; " Equity","EXPECTED_REPORT_DT")*1,"")</f>
        <v>#VALUE!</v>
      </c>
      <c r="AH45" s="191" cm="1">
        <f t="array" ref="AH45">(_xll.BDP(B45&amp;" Equity","SHORT_INT")/_xll.BDP(B45&amp;" Equity","VOLUME_AVG_90D"))</f>
        <v>0.80858183712713494</v>
      </c>
      <c r="AI45" s="191" cm="1">
        <f t="array" ref="AI45">(_xll.BDP(C45&amp;" Equity","SHORT_INT")/_xll.BDP(C45&amp;" Equity","VOLUME_AVG_90D"))</f>
        <v>4.1815789098700131</v>
      </c>
      <c r="AJ45" s="191" t="e" cm="1">
        <f t="array" ref="AJ45">(_xll.BDP(B45&amp;" Equity","SHORT_INT"))/((_xll.BDP(B45&amp;" Equity","EQY_FREE_FLOAT_PCT"))*(_xll.BDP(B45&amp;" Equity","EQY_SH_OUT_TOT_MULT_SH")))/100</f>
        <v>#VALUE!</v>
      </c>
      <c r="AK45" s="191" t="e" cm="1">
        <f t="array" ref="AK45">(_xll.BDP(C45&amp;" Equity","SHORT_INT"))/((_xll.BDP(C45&amp;" Equity","EQY_FREE_FLOAT_PCT"))*(_xll.BDP(C45&amp;" Equity","EQY_SH_OUT_TOT_MULT_SH")))/100</f>
        <v>#VALUE!</v>
      </c>
      <c r="AM45" s="189" t="e">
        <f ca="1">IF(ISTEXT(B45),AP45/_xll.BDH(B45 &amp;  " Equity","BEST_EPS",$AM$3,$AM$3,"BEST_FPERIOD_OVERRIDE=1BF","CDR=US","Fill=p")-1,"")</f>
        <v>#VALUE!</v>
      </c>
      <c r="AN45" s="189" t="e">
        <f ca="1">IF(ISTEXT(B45),AP45/_xll.BDH(B45 &amp;  " Equity","BEST_EPS",$AN$3,$AN$3,"BEST_FPERIOD_OVERRIDE=1BF","CDR=US","Fill=p")-1,"")</f>
        <v>#VALUE!</v>
      </c>
      <c r="AO45" s="191" t="e">
        <f t="shared" ca="1" si="23"/>
        <v>#VALUE!</v>
      </c>
      <c r="AP45" s="191" t="str" cm="1">
        <f t="array" aca="1" ref="AP45" ca="1">IF(ISTEXT(B45),_xll.BDH(B45 &amp;  " Equity","BEST_EPS",$Q$3,$Q$3,"BEST_FPERIOD_OVERRIDE=1BF","CDR=US","Fill=p"),"")</f>
        <v>#N/A N/A</v>
      </c>
      <c r="AR45" s="189" t="e">
        <f ca="1">IF(ISTEXT(C45),AU45/_xll.BDH(C45 &amp;  " Equity","BEST_EPS",$AM$3,$AM$3,"BEST_FPERIOD_OVERRIDE=1BF","CDR=US","Fill=p")-1,"")</f>
        <v>#VALUE!</v>
      </c>
      <c r="AS45" s="189" t="e">
        <f ca="1">IF(ISTEXT(C45),AU45/_xll.BDH(C45 &amp;  " Equity","BEST_EPS",$AN$3,$AN$3,"BEST_FPERIOD_OVERRIDE=1BF","CDR=US","Fill=p")-1,"")</f>
        <v>#VALUE!</v>
      </c>
      <c r="AT45" s="191" t="e">
        <f t="shared" ca="1" si="24"/>
        <v>#VALUE!</v>
      </c>
      <c r="AU45" s="191" t="str" cm="1">
        <f t="array" aca="1" ref="AU45" ca="1">IF(ISTEXT(C45),_xll.BDH(C45 &amp;  " Equity","BEST_EPS",$Q$3,$Q$3,"BEST_FPERIOD_OVERRIDE=1BF","CDR=US","Fill=p"),"")</f>
        <v>#N/A N/A</v>
      </c>
    </row>
    <row r="46" spans="1:47">
      <c r="A46" t="str">
        <f t="shared" si="25"/>
        <v>.QQQIGV</v>
      </c>
      <c r="B46" s="181" t="s">
        <v>135</v>
      </c>
      <c r="C46" s="181" t="s">
        <v>89</v>
      </c>
      <c r="D46" s="181"/>
      <c r="E46" s="181"/>
      <c r="F46" s="181" t="s">
        <v>78</v>
      </c>
      <c r="G46" s="182" cm="1">
        <f t="array" ref="G46">_xll.BDP(B46&amp;" Equity","LAST PRICE")</f>
        <v>616.52</v>
      </c>
      <c r="H46" s="183" cm="1">
        <f t="array" ref="H46">G46/_xll.BDP(B46&amp;" Equity", "PREV_CLOSE_VAL")-1</f>
        <v>-1.536397610757978E-2</v>
      </c>
      <c r="I46" s="182" cm="1">
        <f t="array" ref="I46">_xll.BDP(C46&amp;" Equity","LAST PRICE")</f>
        <v>85.39</v>
      </c>
      <c r="J46" s="183" cm="1">
        <f t="array" ref="J46">I46/_xll.BDP(C46&amp;" Equity", "PREV_CLOSE_VAL")-1</f>
        <v>-4.6134941912421734E-2</v>
      </c>
      <c r="K46" s="184">
        <f>G46/I46</f>
        <v>7.2200491860873637</v>
      </c>
      <c r="L46" s="183" cm="1">
        <f t="array" ref="L46">K46/(_xll.BDP(B46&amp;" Equity", "PREV_CLOSE_VAL")/_xll.BDP(C46&amp;" Equity", "PREV_CLOSE_VAL"))-1</f>
        <v>3.2259244160316669E-2</v>
      </c>
      <c r="M46" s="183"/>
      <c r="N46" s="185">
        <f>ABS(L46/O46)</f>
        <v>2.4421113216974075</v>
      </c>
      <c r="O46" s="186">
        <f>P46/15.87/100</f>
        <v>1.3209571518588531E-2</v>
      </c>
      <c r="P46" s="187" cm="1">
        <f t="array" ref="P46">_xll.BDP($A46&amp;" Index","VOLATILITY_30D")</f>
        <v>20.96359</v>
      </c>
      <c r="Q46" s="187" cm="1">
        <f t="array" aca="1" ref="Q46" ca="1">(_xll.BDP(($B46&amp; " Equity"),"CORR_COEF", "BETA_OVERRIDE_REL_INDEX",($C46&amp; " Equity"),"BETA_OVERRIDE_END_DT",$Q$5,"BETA_OVERRIDE_START_DT",$Q$4))*100</f>
        <v>74.255403661140789</v>
      </c>
      <c r="R46" s="183"/>
      <c r="S46" s="183" cm="1">
        <f t="array" ref="S46">_xll.BDP($A46&amp;" Index","CHG_PCT_2D")/100</f>
        <v>4.8969579999999999E-2</v>
      </c>
      <c r="T46" s="183" cm="1">
        <f t="array" ref="T46">_xll.BDP($A46&amp;" Index","CHG_PCT_5D")/100</f>
        <v>0.11884270000000001</v>
      </c>
      <c r="U46" s="183" cm="1">
        <f t="array" ref="U46">K46/_xll.BDP($A46&amp;" Index","HIGH_52WEEK")-1</f>
        <v>3.2259931300476108E-2</v>
      </c>
      <c r="V46" s="183" cm="1">
        <f t="array" ref="V46">K46/_xll.BDP($A46&amp;" Index","LOW_52WEEK")-1</f>
        <v>0.484702565122346</v>
      </c>
      <c r="W46" s="183"/>
      <c r="X46" s="187" cm="1">
        <f t="array" ref="X46">_xll.BDP($A46&amp;" Index","RSI_14D")</f>
        <v>86.050799999999995</v>
      </c>
      <c r="Y46" s="188"/>
      <c r="Z46" s="189">
        <f>Y46/K46-1</f>
        <v>-1</v>
      </c>
      <c r="AA46" s="188"/>
      <c r="AB46" s="189">
        <f>AA46/K46-1</f>
        <v>-1</v>
      </c>
      <c r="AC46" s="188"/>
      <c r="AD46" s="183" t="e">
        <f>K46/AC46-1</f>
        <v>#DIV/0!</v>
      </c>
      <c r="AE46" s="183"/>
      <c r="AF46" s="190" t="e">
        <f>IF(ISTEXT(B46),_xll.BDP(B46 &amp; " Equity","EXPECTED_REPORT_DT")*1,"")</f>
        <v>#VALUE!</v>
      </c>
      <c r="AG46" s="190" t="e">
        <f>IF(ISTEXT(C46),_xll.BDP(C46 &amp; " Equity","EXPECTED_REPORT_DT")*1,"")</f>
        <v>#VALUE!</v>
      </c>
      <c r="AH46" s="191" cm="1">
        <f t="array" ref="AH46">(_xll.BDP(B46&amp;" Equity","SHORT_INT")/_xll.BDP(B46&amp;" Equity","VOLUME_AVG_90D"))</f>
        <v>0.80858183712713494</v>
      </c>
      <c r="AI46" s="191" t="e" cm="1">
        <f t="array" ref="AI46">(_xll.BDP(C46&amp;" Equity","SHORT_INT")/_xll.BDP(C46&amp;" Equity","VOLUME_AVG_90D"))</f>
        <v>#VALUE!</v>
      </c>
      <c r="AJ46" s="191" t="e" cm="1">
        <f t="array" ref="AJ46">(_xll.BDP(B46&amp;" Equity","SHORT_INT"))/((_xll.BDP(B46&amp;" Equity","EQY_FREE_FLOAT_PCT"))*(_xll.BDP(B46&amp;" Equity","EQY_SH_OUT_TOT_MULT_SH")))/100</f>
        <v>#VALUE!</v>
      </c>
      <c r="AK46" s="191" t="e" cm="1">
        <f t="array" ref="AK46">(_xll.BDP(C46&amp;" Equity","SHORT_INT"))/((_xll.BDP(C46&amp;" Equity","EQY_FREE_FLOAT_PCT"))*(_xll.BDP(C46&amp;" Equity","EQY_SH_OUT_TOT_MULT_SH")))/100</f>
        <v>#VALUE!</v>
      </c>
      <c r="AM46" s="189" t="e">
        <f ca="1">IF(ISTEXT(B46),AP46/_xll.BDH(B46 &amp;  " Equity","BEST_EPS",$AM$3,$AM$3,"BEST_FPERIOD_OVERRIDE=1BF","CDR=US","Fill=p")-1,"")</f>
        <v>#VALUE!</v>
      </c>
      <c r="AN46" s="189" t="e">
        <f ca="1">IF(ISTEXT(B46),AP46/_xll.BDH(B46 &amp;  " Equity","BEST_EPS",$AN$3,$AN$3,"BEST_FPERIOD_OVERRIDE=1BF","CDR=US","Fill=p")-1,"")</f>
        <v>#VALUE!</v>
      </c>
      <c r="AO46" s="191" t="e">
        <f ca="1">G46/AP46</f>
        <v>#VALUE!</v>
      </c>
      <c r="AP46" s="191" t="str" cm="1">
        <f t="array" aca="1" ref="AP46" ca="1">IF(ISTEXT(B46),_xll.BDH(B46 &amp;  " Equity","BEST_EPS",$Q$3,$Q$3,"BEST_FPERIOD_OVERRIDE=1BF","CDR=US","Fill=p"),"")</f>
        <v>#N/A N/A</v>
      </c>
      <c r="AR46" s="189" t="e">
        <f ca="1">IF(ISTEXT(C46),AU46/_xll.BDH(C46 &amp;  " Equity","BEST_EPS",$AM$3,$AM$3,"BEST_FPERIOD_OVERRIDE=1BF","CDR=US","Fill=p")-1,"")</f>
        <v>#VALUE!</v>
      </c>
      <c r="AS46" s="189" t="e">
        <f ca="1">IF(ISTEXT(C46),AU46/_xll.BDH(C46 &amp;  " Equity","BEST_EPS",$AN$3,$AN$3,"BEST_FPERIOD_OVERRIDE=1BF","CDR=US","Fill=p")-1,"")</f>
        <v>#VALUE!</v>
      </c>
      <c r="AT46" s="191" t="e">
        <f ca="1">I46/AU46</f>
        <v>#VALUE!</v>
      </c>
      <c r="AU46" s="191" t="str" cm="1">
        <f t="array" aca="1" ref="AU46" ca="1">IF(ISTEXT(C46),_xll.BDH(C46 &amp;  " Equity","BEST_EPS",$Q$3,$Q$3,"BEST_FPERIOD_OVERRIDE=1BF","CDR=US","Fill=p"),"")</f>
        <v>#N/A N/A</v>
      </c>
    </row>
    <row r="47" spans="1:47">
      <c r="A47" t="str">
        <f t="shared" si="25"/>
        <v>.SPYQQQ</v>
      </c>
      <c r="B47" s="181" t="s">
        <v>0</v>
      </c>
      <c r="C47" s="181" t="s">
        <v>135</v>
      </c>
      <c r="D47" s="181"/>
      <c r="E47" s="181"/>
      <c r="F47" s="181" t="s">
        <v>78</v>
      </c>
      <c r="G47" s="182" cm="1">
        <f t="array" ref="G47">_xll.BDP(B47&amp;" Equity","LAST PRICE")</f>
        <v>689.53</v>
      </c>
      <c r="H47" s="183" cm="1">
        <f t="array" ref="H47">G47/_xll.BDP(B47&amp;" Equity", "PREV_CLOSE_VAL")-1</f>
        <v>-8.4554435512862458E-3</v>
      </c>
      <c r="I47" s="182" cm="1">
        <f t="array" ref="I47">_xll.BDP(C47&amp;" Equity","LAST PRICE")</f>
        <v>616.52</v>
      </c>
      <c r="J47" s="183" cm="1">
        <f t="array" ref="J47">I47/_xll.BDP(C47&amp;" Equity", "PREV_CLOSE_VAL")-1</f>
        <v>-1.536397610757978E-2</v>
      </c>
      <c r="K47" s="184">
        <f t="shared" si="18"/>
        <v>1.1184227600077856</v>
      </c>
      <c r="L47" s="183" cm="1">
        <f t="array" ref="L47">K47/(_xll.BDP(B47&amp;" Equity", "PREV_CLOSE_VAL")/_xll.BDP(C47&amp;" Equity", "PREV_CLOSE_VAL"))-1</f>
        <v>7.0163313027924445E-3</v>
      </c>
      <c r="M47" s="183"/>
      <c r="N47" s="185">
        <f t="shared" si="19"/>
        <v>0.23727627787658026</v>
      </c>
      <c r="O47" s="186">
        <f t="shared" si="17"/>
        <v>2.9570302457466918E-2</v>
      </c>
      <c r="P47" s="187" cm="1">
        <f t="array" ref="P47">_xll.BDP($A47&amp;" Index","VOLATILITY_30D")</f>
        <v>46.928069999999998</v>
      </c>
      <c r="Q47" s="187" cm="1">
        <f t="array" aca="1" ref="Q47" ca="1">(_xll.BDP(($B47&amp; " Equity"),"CORR_COEF", "BETA_OVERRIDE_REL_INDEX",($C47&amp; " Equity"),"BETA_OVERRIDE_END_DT",$Q$5,"BETA_OVERRIDE_START_DT",$Q$4))*100</f>
        <v>93.961579265389389</v>
      </c>
      <c r="R47" s="183"/>
      <c r="S47" s="183" cm="1">
        <f t="array" ref="S47">_xll.BDP($A47&amp;" Index","CHG_PCT_2D")/100</f>
        <v>5.1714240000000002E-2</v>
      </c>
      <c r="T47" s="183" cm="1">
        <f t="array" ref="T47">_xll.BDP($A47&amp;" Index","CHG_PCT_5D")/100</f>
        <v>0.1387853</v>
      </c>
      <c r="U47" s="183" cm="1">
        <f t="array" ref="U47">K47/_xll.BDP($A47&amp;" Index","HIGH_52WEEK")-1</f>
        <v>-0.9876116220646014</v>
      </c>
      <c r="V47" s="183" cm="1">
        <f t="array" ref="V47">K47/_xll.BDP($A47&amp;" Index","LOW_52WEEK")-1</f>
        <v>-0.97812589947178197</v>
      </c>
      <c r="W47" s="183"/>
      <c r="X47" s="187" cm="1">
        <f t="array" ref="X47">_xll.BDP($A47&amp;" Index","RSI_14D")</f>
        <v>55.394419999999997</v>
      </c>
      <c r="Y47" s="188"/>
      <c r="Z47" s="189">
        <f t="shared" si="20"/>
        <v>-1</v>
      </c>
      <c r="AA47" s="188"/>
      <c r="AB47" s="189">
        <f t="shared" si="21"/>
        <v>-1</v>
      </c>
      <c r="AC47" s="188"/>
      <c r="AD47" s="183" t="e">
        <f t="shared" si="22"/>
        <v>#DIV/0!</v>
      </c>
      <c r="AE47" s="183"/>
      <c r="AF47" s="190" t="e">
        <f>IF(ISTEXT(B47),_xll.BDP(B47 &amp; " Equity","EXPECTED_REPORT_DT")*1,"")</f>
        <v>#VALUE!</v>
      </c>
      <c r="AG47" s="190" t="e">
        <f>IF(ISTEXT(C47),_xll.BDP(C47 &amp; " Equity","EXPECTED_REPORT_DT")*1,"")</f>
        <v>#VALUE!</v>
      </c>
      <c r="AH47" s="191" cm="1">
        <f t="array" ref="AH47">(_xll.BDP(B47&amp;" Equity","SHORT_INT")/_xll.BDP(B47&amp;" Equity","VOLUME_AVG_90D"))</f>
        <v>1.3531936707607752</v>
      </c>
      <c r="AI47" s="191" cm="1">
        <f t="array" ref="AI47">(_xll.BDP(C47&amp;" Equity","SHORT_INT")/_xll.BDP(C47&amp;" Equity","VOLUME_AVG_90D"))</f>
        <v>0.80858183712713494</v>
      </c>
      <c r="AJ47" s="191" t="e" cm="1">
        <f t="array" ref="AJ47">(_xll.BDP(B47&amp;" Equity","SHORT_INT"))/((_xll.BDP(B47&amp;" Equity","EQY_FREE_FLOAT_PCT"))*(_xll.BDP(B47&amp;" Equity","EQY_SH_OUT_TOT_MULT_SH")))/100</f>
        <v>#VALUE!</v>
      </c>
      <c r="AK47" s="191" t="e" cm="1">
        <f t="array" ref="AK47">(_xll.BDP(C47&amp;" Equity","SHORT_INT"))/((_xll.BDP(C47&amp;" Equity","EQY_FREE_FLOAT_PCT"))*(_xll.BDP(C47&amp;" Equity","EQY_SH_OUT_TOT_MULT_SH")))/100</f>
        <v>#VALUE!</v>
      </c>
      <c r="AM47" s="189" t="e">
        <f ca="1">IF(ISTEXT(B47),AP47/_xll.BDH(B47 &amp;  " Equity","BEST_EPS",$AM$3,$AM$3,"BEST_FPERIOD_OVERRIDE=1BF","CDR=US","Fill=p")-1,"")</f>
        <v>#VALUE!</v>
      </c>
      <c r="AN47" s="189" t="e">
        <f ca="1">IF(ISTEXT(B47),AP47/_xll.BDH(B47 &amp;  " Equity","BEST_EPS",$AN$3,$AN$3,"BEST_FPERIOD_OVERRIDE=1BF","CDR=US","Fill=p")-1,"")</f>
        <v>#VALUE!</v>
      </c>
      <c r="AO47" s="191" t="e">
        <f t="shared" ca="1" si="23"/>
        <v>#VALUE!</v>
      </c>
      <c r="AP47" s="191" t="str" cm="1">
        <f t="array" aca="1" ref="AP47" ca="1">IF(ISTEXT(B47),_xll.BDH(B47 &amp;  " Equity","BEST_EPS",$Q$3,$Q$3,"BEST_FPERIOD_OVERRIDE=1BF","CDR=US","Fill=p"),"")</f>
        <v>#N/A N/A</v>
      </c>
      <c r="AR47" s="189" t="e">
        <f ca="1">IF(ISTEXT(C47),AU47/_xll.BDH(C47 &amp;  " Equity","BEST_EPS",$AM$3,$AM$3,"BEST_FPERIOD_OVERRIDE=1BF","CDR=US","Fill=p")-1,"")</f>
        <v>#VALUE!</v>
      </c>
      <c r="AS47" s="189" t="e">
        <f ca="1">IF(ISTEXT(C47),AU47/_xll.BDH(C47 &amp;  " Equity","BEST_EPS",$AN$3,$AN$3,"BEST_FPERIOD_OVERRIDE=1BF","CDR=US","Fill=p")-1,"")</f>
        <v>#VALUE!</v>
      </c>
      <c r="AT47" s="191" t="e">
        <f t="shared" ca="1" si="24"/>
        <v>#VALUE!</v>
      </c>
      <c r="AU47" s="191" t="str" cm="1">
        <f t="array" aca="1" ref="AU47" ca="1">IF(ISTEXT(C47),_xll.BDH(C47 &amp;  " Equity","BEST_EPS",$Q$3,$Q$3,"BEST_FPERIOD_OVERRIDE=1BF","CDR=US","Fill=p"),"")</f>
        <v>#N/A N/A</v>
      </c>
    </row>
    <row r="48" spans="1:47">
      <c r="A48" t="str">
        <f t="shared" si="25"/>
        <v>.SPYIWM</v>
      </c>
      <c r="B48" s="181" t="s">
        <v>0</v>
      </c>
      <c r="C48" s="181" t="s">
        <v>144</v>
      </c>
      <c r="D48" s="181"/>
      <c r="E48" s="181"/>
      <c r="F48" s="181" t="s">
        <v>78</v>
      </c>
      <c r="G48" s="182" cm="1">
        <f t="array" ref="G48">_xll.BDP(B48&amp;" Equity","LAST PRICE")</f>
        <v>689.53</v>
      </c>
      <c r="H48" s="183" cm="1">
        <f t="array" ref="H48">G48/_xll.BDP(B48&amp;" Equity", "PREV_CLOSE_VAL")-1</f>
        <v>-8.4554435512862458E-3</v>
      </c>
      <c r="I48" s="182" cm="1">
        <f t="array" ref="I48">_xll.BDP(C48&amp;" Equity","LAST PRICE")</f>
        <v>262.77999999999997</v>
      </c>
      <c r="J48" s="183" cm="1">
        <f t="array" ref="J48">I48/_xll.BDP(C48&amp;" Equity", "PREV_CLOSE_VAL")-1</f>
        <v>2.2885040811655433E-3</v>
      </c>
      <c r="K48" s="184">
        <f t="shared" si="18"/>
        <v>2.623982038206865</v>
      </c>
      <c r="L48" s="183" cm="1">
        <f t="array" ref="L48">K48/(_xll.BDP(B48&amp;" Equity", "PREV_CLOSE_VAL")/_xll.BDP(C48&amp;" Equity", "PREV_CLOSE_VAL"))-1</f>
        <v>-1.0719416204719723E-2</v>
      </c>
      <c r="M48" s="183"/>
      <c r="N48" s="185">
        <f t="shared" si="19"/>
        <v>1.4161805866184998</v>
      </c>
      <c r="O48" s="186">
        <f t="shared" si="17"/>
        <v>7.5692438563327033E-3</v>
      </c>
      <c r="P48" s="187" cm="1">
        <f t="array" ref="P48">_xll.BDP($A48&amp;" Index","VOLATILITY_30D")</f>
        <v>12.01239</v>
      </c>
      <c r="Q48" s="187" cm="1">
        <f t="array" aca="1" ref="Q48" ca="1">(_xll.BDP(($B48&amp; " Equity"),"CORR_COEF", "BETA_OVERRIDE_REL_INDEX",($C48&amp; " Equity"),"BETA_OVERRIDE_END_DT",$Q$5,"BETA_OVERRIDE_START_DT",$Q$4))*100</f>
        <v>72.985217883023765</v>
      </c>
      <c r="R48" s="183"/>
      <c r="S48" s="183" cm="1">
        <f t="array" ref="S48">_xll.BDP($A48&amp;" Index","CHG_PCT_2D")/100</f>
        <v>-1.468699E-2</v>
      </c>
      <c r="T48" s="183" cm="1">
        <f t="array" ref="T48">_xll.BDP($A48&amp;" Index","CHG_PCT_5D")/100</f>
        <v>-4.9368769999999995E-4</v>
      </c>
      <c r="U48" s="183" cm="1">
        <f t="array" ref="U48">K48/_xll.BDP($A48&amp;" Index","HIGH_52WEEK")-1</f>
        <v>-9.3985167286955607E-2</v>
      </c>
      <c r="V48" s="183" cm="1">
        <f t="array" ref="V48">K48/_xll.BDP($A48&amp;" Index","LOW_52WEEK")-1</f>
        <v>2.7497508852384334E-2</v>
      </c>
      <c r="W48" s="183"/>
      <c r="X48" s="187" cm="1">
        <f t="array" ref="X48">_xll.BDP($A48&amp;" Index","RSI_14D")</f>
        <v>49.067839999999997</v>
      </c>
      <c r="Y48" s="188"/>
      <c r="Z48" s="189">
        <f t="shared" si="20"/>
        <v>-1</v>
      </c>
      <c r="AA48" s="188"/>
      <c r="AB48" s="189">
        <f t="shared" si="21"/>
        <v>-1</v>
      </c>
      <c r="AC48" s="188"/>
      <c r="AD48" s="183" t="e">
        <f t="shared" si="22"/>
        <v>#DIV/0!</v>
      </c>
      <c r="AE48" s="183"/>
      <c r="AF48" s="190" t="e">
        <f>IF(ISTEXT(B48),_xll.BDP(B48 &amp; " Equity","EXPECTED_REPORT_DT")*1,"")</f>
        <v>#VALUE!</v>
      </c>
      <c r="AG48" s="190" t="e">
        <f>IF(ISTEXT(C48),_xll.BDP(C48 &amp; " Equity","EXPECTED_REPORT_DT")*1,"")</f>
        <v>#VALUE!</v>
      </c>
      <c r="AH48" s="191" cm="1">
        <f t="array" ref="AH48">(_xll.BDP(B48&amp;" Equity","SHORT_INT")/_xll.BDP(B48&amp;" Equity","VOLUME_AVG_90D"))</f>
        <v>1.3531936707607752</v>
      </c>
      <c r="AI48" s="191" cm="1">
        <f t="array" ref="AI48">(_xll.BDP(C48&amp;" Equity","SHORT_INT")/_xll.BDP(C48&amp;" Equity","VOLUME_AVG_90D"))</f>
        <v>2.0396316888095032</v>
      </c>
      <c r="AJ48" s="191" t="e" cm="1">
        <f t="array" ref="AJ48">(_xll.BDP(B48&amp;" Equity","SHORT_INT"))/((_xll.BDP(B48&amp;" Equity","EQY_FREE_FLOAT_PCT"))*(_xll.BDP(B48&amp;" Equity","EQY_SH_OUT_TOT_MULT_SH")))/100</f>
        <v>#VALUE!</v>
      </c>
      <c r="AK48" s="191" t="e" cm="1">
        <f t="array" ref="AK48">(_xll.BDP(C48&amp;" Equity","SHORT_INT"))/((_xll.BDP(C48&amp;" Equity","EQY_FREE_FLOAT_PCT"))*(_xll.BDP(C48&amp;" Equity","EQY_SH_OUT_TOT_MULT_SH")))/100</f>
        <v>#VALUE!</v>
      </c>
      <c r="AM48" s="189" t="e">
        <f ca="1">IF(ISTEXT(B48),AP48/_xll.BDH(B48 &amp;  " Equity","BEST_EPS",$AM$3,$AM$3,"BEST_FPERIOD_OVERRIDE=1BF","CDR=US","Fill=p")-1,"")</f>
        <v>#VALUE!</v>
      </c>
      <c r="AN48" s="189" t="e">
        <f ca="1">IF(ISTEXT(B48),AP48/_xll.BDH(B48 &amp;  " Equity","BEST_EPS",$AN$3,$AN$3,"BEST_FPERIOD_OVERRIDE=1BF","CDR=US","Fill=p")-1,"")</f>
        <v>#VALUE!</v>
      </c>
      <c r="AO48" s="191" t="e">
        <f t="shared" ca="1" si="23"/>
        <v>#VALUE!</v>
      </c>
      <c r="AP48" s="191" t="str" cm="1">
        <f t="array" aca="1" ref="AP48" ca="1">IF(ISTEXT(B48),_xll.BDH(B48 &amp;  " Equity","BEST_EPS",$Q$3,$Q$3,"BEST_FPERIOD_OVERRIDE=1BF","CDR=US","Fill=p"),"")</f>
        <v>#N/A N/A</v>
      </c>
      <c r="AR48" s="189" t="e">
        <f ca="1">IF(ISTEXT(C48),AU48/_xll.BDH(C48 &amp;  " Equity","BEST_EPS",$AM$3,$AM$3,"BEST_FPERIOD_OVERRIDE=1BF","CDR=US","Fill=p")-1,"")</f>
        <v>#VALUE!</v>
      </c>
      <c r="AS48" s="189" t="e">
        <f ca="1">IF(ISTEXT(C48),AU48/_xll.BDH(C48 &amp;  " Equity","BEST_EPS",$AN$3,$AN$3,"BEST_FPERIOD_OVERRIDE=1BF","CDR=US","Fill=p")-1,"")</f>
        <v>#VALUE!</v>
      </c>
      <c r="AT48" s="191" t="e">
        <f t="shared" ca="1" si="24"/>
        <v>#VALUE!</v>
      </c>
      <c r="AU48" s="191" t="str" cm="1">
        <f t="array" aca="1" ref="AU48" ca="1">IF(ISTEXT(C48),_xll.BDH(C48 &amp;  " Equity","BEST_EPS",$Q$3,$Q$3,"BEST_FPERIOD_OVERRIDE=1BF","CDR=US","Fill=p"),"")</f>
        <v>#N/A N/A</v>
      </c>
    </row>
    <row r="49" spans="1:47">
      <c r="A49" t="str">
        <f t="shared" si="25"/>
        <v>.QQQIWM</v>
      </c>
      <c r="B49" s="181" t="s">
        <v>135</v>
      </c>
      <c r="C49" s="181" t="s">
        <v>144</v>
      </c>
      <c r="D49" s="181"/>
      <c r="E49" s="181"/>
      <c r="F49" s="181" t="s">
        <v>78</v>
      </c>
      <c r="G49" s="182" cm="1">
        <f t="array" ref="G49">_xll.BDP(B49&amp;" Equity","LAST PRICE")</f>
        <v>616.52</v>
      </c>
      <c r="H49" s="183" cm="1">
        <f t="array" ref="H49">G49/_xll.BDP(B49&amp;" Equity", "PREV_CLOSE_VAL")-1</f>
        <v>-1.536397610757978E-2</v>
      </c>
      <c r="I49" s="182" cm="1">
        <f t="array" ref="I49">_xll.BDP(C49&amp;" Equity","LAST PRICE")</f>
        <v>262.77999999999997</v>
      </c>
      <c r="J49" s="183" cm="1">
        <f t="array" ref="J49">I49/_xll.BDP(C49&amp;" Equity", "PREV_CLOSE_VAL")-1</f>
        <v>2.2885040811655433E-3</v>
      </c>
      <c r="K49" s="184">
        <f t="shared" si="18"/>
        <v>2.3461450643123527</v>
      </c>
      <c r="L49" s="183" cm="1">
        <f t="array" ref="L49">K49/(_xll.BDP(B49&amp;" Equity", "PREV_CLOSE_VAL")/_xll.BDP(C49&amp;" Equity", "PREV_CLOSE_VAL"))-1</f>
        <v>-1.7612174655168733E-2</v>
      </c>
      <c r="M49" s="183"/>
      <c r="N49" s="185">
        <f t="shared" si="19"/>
        <v>1.9668700241757087</v>
      </c>
      <c r="O49" s="186">
        <f t="shared" si="17"/>
        <v>8.9544171392564598E-3</v>
      </c>
      <c r="P49" s="187" cm="1">
        <f t="array" ref="P49">_xll.BDP($A49&amp;" Index","VOLATILITY_30D")</f>
        <v>14.210660000000001</v>
      </c>
      <c r="Q49" s="187" cm="1">
        <f t="array" aca="1" ref="Q49" ca="1">(_xll.BDP(($B49&amp; " Equity"),"CORR_COEF", "BETA_OVERRIDE_REL_INDEX",($C49&amp; " Equity"),"BETA_OVERRIDE_END_DT",$Q$5,"BETA_OVERRIDE_START_DT",$Q$4))*100</f>
        <v>62.782320572189612</v>
      </c>
      <c r="R49" s="183"/>
      <c r="S49" s="183" cm="1">
        <f t="array" ref="S49">_xll.BDP($A49&amp;" Index","CHG_PCT_2D")/100</f>
        <v>-2.0330420000000002E-2</v>
      </c>
      <c r="T49" s="183" cm="1">
        <f t="array" ref="T49">_xll.BDP($A49&amp;" Index","CHG_PCT_5D")/100</f>
        <v>-1.5818449999999998E-2</v>
      </c>
      <c r="U49" s="183" cm="1">
        <f t="array" ref="U49">K49/_xll.BDP($A49&amp;" Index","HIGH_52WEEK")-1</f>
        <v>-0.10033550720440498</v>
      </c>
      <c r="V49" s="183" cm="1">
        <f t="array" ref="V49">K49/_xll.BDP($A49&amp;" Index","LOW_52WEEK")-1</f>
        <v>2.1555430678013465E-2</v>
      </c>
      <c r="W49" s="183"/>
      <c r="X49" s="187" cm="1">
        <f t="array" ref="X49">_xll.BDP($A49&amp;" Index","RSI_14D")</f>
        <v>47.688409999999998</v>
      </c>
      <c r="Y49" s="188"/>
      <c r="Z49" s="189">
        <f t="shared" si="20"/>
        <v>-1</v>
      </c>
      <c r="AA49" s="188"/>
      <c r="AB49" s="189">
        <f t="shared" si="21"/>
        <v>-1</v>
      </c>
      <c r="AC49" s="188"/>
      <c r="AD49" s="183" t="e">
        <f t="shared" si="22"/>
        <v>#DIV/0!</v>
      </c>
      <c r="AE49" s="183"/>
      <c r="AF49" s="190" t="e">
        <f>IF(ISTEXT(B49),_xll.BDP(B49 &amp; " Equity","EXPECTED_REPORT_DT")*1,"")</f>
        <v>#VALUE!</v>
      </c>
      <c r="AG49" s="190" t="e">
        <f>IF(ISTEXT(C49),_xll.BDP(C49 &amp; " Equity","EXPECTED_REPORT_DT")*1,"")</f>
        <v>#VALUE!</v>
      </c>
      <c r="AH49" s="191" cm="1">
        <f t="array" ref="AH49">(_xll.BDP(B49&amp;" Equity","SHORT_INT")/_xll.BDP(B49&amp;" Equity","VOLUME_AVG_90D"))</f>
        <v>0.80858183712713494</v>
      </c>
      <c r="AI49" s="191" cm="1">
        <f t="array" ref="AI49">(_xll.BDP(C49&amp;" Equity","SHORT_INT")/_xll.BDP(C49&amp;" Equity","VOLUME_AVG_90D"))</f>
        <v>2.0396316888095032</v>
      </c>
      <c r="AJ49" s="191" t="e" cm="1">
        <f t="array" ref="AJ49">(_xll.BDP(B49&amp;" Equity","SHORT_INT"))/((_xll.BDP(B49&amp;" Equity","EQY_FREE_FLOAT_PCT"))*(_xll.BDP(B49&amp;" Equity","EQY_SH_OUT_TOT_MULT_SH")))/100</f>
        <v>#VALUE!</v>
      </c>
      <c r="AK49" s="191" t="e" cm="1">
        <f t="array" ref="AK49">(_xll.BDP(C49&amp;" Equity","SHORT_INT"))/((_xll.BDP(C49&amp;" Equity","EQY_FREE_FLOAT_PCT"))*(_xll.BDP(C49&amp;" Equity","EQY_SH_OUT_TOT_MULT_SH")))/100</f>
        <v>#VALUE!</v>
      </c>
      <c r="AM49" s="189" t="e">
        <f ca="1">IF(ISTEXT(B49),AP49/_xll.BDH(B49 &amp;  " Equity","BEST_EPS",$AM$3,$AM$3,"BEST_FPERIOD_OVERRIDE=1BF","CDR=US","Fill=p")-1,"")</f>
        <v>#VALUE!</v>
      </c>
      <c r="AN49" s="189" t="e">
        <f ca="1">IF(ISTEXT(B49),AP49/_xll.BDH(B49 &amp;  " Equity","BEST_EPS",$AN$3,$AN$3,"BEST_FPERIOD_OVERRIDE=1BF","CDR=US","Fill=p")-1,"")</f>
        <v>#VALUE!</v>
      </c>
      <c r="AO49" s="191" t="e">
        <f t="shared" ca="1" si="23"/>
        <v>#VALUE!</v>
      </c>
      <c r="AP49" s="191" t="str" cm="1">
        <f t="array" aca="1" ref="AP49" ca="1">IF(ISTEXT(B49),_xll.BDH(B49 &amp;  " Equity","BEST_EPS",$Q$3,$Q$3,"BEST_FPERIOD_OVERRIDE=1BF","CDR=US","Fill=p"),"")</f>
        <v>#N/A N/A</v>
      </c>
      <c r="AR49" s="189" t="e">
        <f ca="1">IF(ISTEXT(C49),AU49/_xll.BDH(C49 &amp;  " Equity","BEST_EPS",$AM$3,$AM$3,"BEST_FPERIOD_OVERRIDE=1BF","CDR=US","Fill=p")-1,"")</f>
        <v>#VALUE!</v>
      </c>
      <c r="AS49" s="189" t="e">
        <f ca="1">IF(ISTEXT(C49),AU49/_xll.BDH(C49 &amp;  " Equity","BEST_EPS",$AN$3,$AN$3,"BEST_FPERIOD_OVERRIDE=1BF","CDR=US","Fill=p")-1,"")</f>
        <v>#VALUE!</v>
      </c>
      <c r="AT49" s="191" t="e">
        <f t="shared" ca="1" si="24"/>
        <v>#VALUE!</v>
      </c>
      <c r="AU49" s="191" t="str" cm="1">
        <f t="array" aca="1" ref="AU49" ca="1">IF(ISTEXT(C49),_xll.BDH(C49 &amp;  " Equity","BEST_EPS",$Q$3,$Q$3,"BEST_FPERIOD_OVERRIDE=1BF","CDR=US","Fill=p"),"")</f>
        <v>#N/A N/A</v>
      </c>
    </row>
    <row r="50" spans="1:47">
      <c r="A50" t="str">
        <f t="shared" si="25"/>
        <v>.SMHIGV</v>
      </c>
      <c r="B50" s="181" t="s">
        <v>136</v>
      </c>
      <c r="C50" s="181" t="s">
        <v>89</v>
      </c>
      <c r="D50" s="181"/>
      <c r="E50" s="181"/>
      <c r="F50" s="181" t="s">
        <v>78</v>
      </c>
      <c r="G50" s="182" cm="1">
        <f t="array" ref="G50">_xll.BDP(B50&amp;" Equity","LAST PRICE")</f>
        <v>397.68</v>
      </c>
      <c r="H50" s="183" cm="1">
        <f t="array" ref="H50">G50/_xll.BDP(B50&amp;" Equity", "PREV_CLOSE_VAL")-1</f>
        <v>-2.5222442826678515E-2</v>
      </c>
      <c r="I50" s="182" cm="1">
        <f t="array" ref="I50">_xll.BDP(C50&amp;" Equity","LAST PRICE")</f>
        <v>85.39</v>
      </c>
      <c r="J50" s="183" cm="1">
        <f t="array" ref="J50">I50/_xll.BDP(C50&amp;" Equity", "PREV_CLOSE_VAL")-1</f>
        <v>-4.6134941912421734E-2</v>
      </c>
      <c r="K50" s="184">
        <f>G50/I50</f>
        <v>4.6572198149666235</v>
      </c>
      <c r="L50" s="183" cm="1">
        <f t="array" ref="L50">K50/(_xll.BDP(B50&amp;" Equity", "PREV_CLOSE_VAL")/_xll.BDP(C50&amp;" Equity", "PREV_CLOSE_VAL"))-1</f>
        <v>2.1923959692654149E-2</v>
      </c>
      <c r="M50" s="183"/>
      <c r="N50" s="185">
        <f>ABS(L50/O50)</f>
        <v>1.0638312376395211</v>
      </c>
      <c r="O50" s="186">
        <f>P50/15.87/100</f>
        <v>2.0608494013862635E-2</v>
      </c>
      <c r="P50" s="187" cm="1">
        <f t="array" ref="P50">_xll.BDP($A50&amp;" Index","VOLATILITY_30D")</f>
        <v>32.705680000000001</v>
      </c>
      <c r="Q50" s="187" cm="1">
        <f t="array" aca="1" ref="Q50" ca="1">(_xll.BDP(($B50&amp; " Equity"),"CORR_COEF", "BETA_OVERRIDE_REL_INDEX",($C50&amp; " Equity"),"BETA_OVERRIDE_END_DT",$Q$5,"BETA_OVERRIDE_START_DT",$Q$4))*100</f>
        <v>56.344079946372048</v>
      </c>
      <c r="R50" s="183"/>
      <c r="S50" s="183" cm="1">
        <f t="array" ref="S50">_xll.BDP($A50&amp;" Index","CHG_PCT_2D")/100</f>
        <v>4.2061319999999999E-2</v>
      </c>
      <c r="T50" s="183" cm="1">
        <f t="array" ref="T50">_xll.BDP($A50&amp;" Index","CHG_PCT_5D")/100</f>
        <v>0.11752710000000001</v>
      </c>
      <c r="U50" s="183" cm="1">
        <f t="array" ref="U50">K50/_xll.BDP($A50&amp;" Index","HIGH_52WEEK")-1</f>
        <v>2.1922979776803242E-2</v>
      </c>
      <c r="V50" s="183" cm="1">
        <f t="array" ref="V50">K50/_xll.BDP($A50&amp;" Index","LOW_52WEEK")-1</f>
        <v>1.1282948008292615</v>
      </c>
      <c r="W50" s="183"/>
      <c r="X50" s="187" cm="1">
        <f t="array" ref="X50">_xll.BDP($A50&amp;" Index","RSI_14D")</f>
        <v>79.665210000000002</v>
      </c>
      <c r="Y50" s="188"/>
      <c r="Z50" s="189">
        <f>Y50/K50-1</f>
        <v>-1</v>
      </c>
      <c r="AA50" s="188"/>
      <c r="AB50" s="189">
        <f>AA50/K50-1</f>
        <v>-1</v>
      </c>
      <c r="AC50" s="188"/>
      <c r="AD50" s="183" t="e">
        <f>K50/AC50-1</f>
        <v>#DIV/0!</v>
      </c>
      <c r="AE50" s="183"/>
      <c r="AF50" s="190" t="e">
        <f>IF(ISTEXT(B50),_xll.BDP(B50 &amp; " Equity","EXPECTED_REPORT_DT")*1,"")</f>
        <v>#VALUE!</v>
      </c>
      <c r="AG50" s="190" t="e">
        <f>IF(ISTEXT(C50),_xll.BDP(C50 &amp; " Equity","EXPECTED_REPORT_DT")*1,"")</f>
        <v>#VALUE!</v>
      </c>
      <c r="AH50" s="191" cm="1">
        <f t="array" ref="AH50">(_xll.BDP(B50&amp;" Equity","SHORT_INT")/_xll.BDP(B50&amp;" Equity","VOLUME_AVG_90D"))</f>
        <v>1.1624430766047966</v>
      </c>
      <c r="AI50" s="191" t="e" cm="1">
        <f t="array" ref="AI50">(_xll.BDP(C50&amp;" Equity","SHORT_INT")/_xll.BDP(C50&amp;" Equity","VOLUME_AVG_90D"))</f>
        <v>#VALUE!</v>
      </c>
      <c r="AJ50" s="191" t="e" cm="1">
        <f t="array" ref="AJ50">(_xll.BDP(B50&amp;" Equity","SHORT_INT"))/((_xll.BDP(B50&amp;" Equity","EQY_FREE_FLOAT_PCT"))*(_xll.BDP(B50&amp;" Equity","EQY_SH_OUT_TOT_MULT_SH")))/100</f>
        <v>#VALUE!</v>
      </c>
      <c r="AK50" s="191" t="e" cm="1">
        <f t="array" ref="AK50">(_xll.BDP(C50&amp;" Equity","SHORT_INT"))/((_xll.BDP(C50&amp;" Equity","EQY_FREE_FLOAT_PCT"))*(_xll.BDP(C50&amp;" Equity","EQY_SH_OUT_TOT_MULT_SH")))/100</f>
        <v>#VALUE!</v>
      </c>
      <c r="AM50" s="189" t="e">
        <f ca="1">IF(ISTEXT(B50),AP50/_xll.BDH(B50 &amp;  " Equity","BEST_EPS",$AM$3,$AM$3,"BEST_FPERIOD_OVERRIDE=1BF","CDR=US","Fill=p")-1,"")</f>
        <v>#VALUE!</v>
      </c>
      <c r="AN50" s="189" t="e">
        <f ca="1">IF(ISTEXT(B50),AP50/_xll.BDH(B50 &amp;  " Equity","BEST_EPS",$AN$3,$AN$3,"BEST_FPERIOD_OVERRIDE=1BF","CDR=US","Fill=p")-1,"")</f>
        <v>#VALUE!</v>
      </c>
      <c r="AO50" s="191" t="e">
        <f ca="1">G50/AP50</f>
        <v>#VALUE!</v>
      </c>
      <c r="AP50" s="191" t="str" cm="1">
        <f t="array" aca="1" ref="AP50" ca="1">IF(ISTEXT(B50),_xll.BDH(B50 &amp;  " Equity","BEST_EPS",$Q$3,$Q$3,"BEST_FPERIOD_OVERRIDE=1BF","CDR=US","Fill=p"),"")</f>
        <v>#N/A N/A</v>
      </c>
      <c r="AR50" s="189" t="e">
        <f ca="1">IF(ISTEXT(C50),AU50/_xll.BDH(C50 &amp;  " Equity","BEST_EPS",$AM$3,$AM$3,"BEST_FPERIOD_OVERRIDE=1BF","CDR=US","Fill=p")-1,"")</f>
        <v>#VALUE!</v>
      </c>
      <c r="AS50" s="189" t="e">
        <f ca="1">IF(ISTEXT(C50),AU50/_xll.BDH(C50 &amp;  " Equity","BEST_EPS",$AN$3,$AN$3,"BEST_FPERIOD_OVERRIDE=1BF","CDR=US","Fill=p")-1,"")</f>
        <v>#VALUE!</v>
      </c>
      <c r="AT50" s="191" t="e">
        <f ca="1">I50/AU50</f>
        <v>#VALUE!</v>
      </c>
      <c r="AU50" s="191" t="str" cm="1">
        <f t="array" aca="1" ref="AU50" ca="1">IF(ISTEXT(C50),_xll.BDH(C50 &amp;  " Equity","BEST_EPS",$Q$3,$Q$3,"BEST_FPERIOD_OVERRIDE=1BF","CDR=US","Fill=p"),"")</f>
        <v>#N/A N/A</v>
      </c>
    </row>
    <row r="51" spans="1:47">
      <c r="A51" t="str">
        <f t="shared" si="25"/>
        <v>.SMHQQQ</v>
      </c>
      <c r="B51" s="181" t="s">
        <v>136</v>
      </c>
      <c r="C51" s="181" t="s">
        <v>135</v>
      </c>
      <c r="D51" s="181"/>
      <c r="E51" s="181"/>
      <c r="F51" s="181" t="s">
        <v>78</v>
      </c>
      <c r="G51" s="182" cm="1">
        <f t="array" ref="G51">_xll.BDP(B51&amp;" Equity","LAST PRICE")</f>
        <v>397.68</v>
      </c>
      <c r="H51" s="183" cm="1">
        <f t="array" ref="H51">G51/_xll.BDP(B51&amp;" Equity", "PREV_CLOSE_VAL")-1</f>
        <v>-2.5222442826678515E-2</v>
      </c>
      <c r="I51" s="182" cm="1">
        <f t="array" ref="I51">_xll.BDP(C51&amp;" Equity","LAST PRICE")</f>
        <v>616.52</v>
      </c>
      <c r="J51" s="183" cm="1">
        <f t="array" ref="J51">I51/_xll.BDP(C51&amp;" Equity", "PREV_CLOSE_VAL")-1</f>
        <v>-1.536397610757978E-2</v>
      </c>
      <c r="K51" s="184">
        <f>G51/I51</f>
        <v>0.64503990138195033</v>
      </c>
      <c r="L51" s="183" cm="1">
        <f t="array" ref="L51">K51/(_xll.BDP(B51&amp;" Equity", "PREV_CLOSE_VAL")/_xll.BDP(C51&amp;" Equity", "PREV_CLOSE_VAL"))-1</f>
        <v>-1.0012295386194192E-2</v>
      </c>
      <c r="M51" s="183"/>
      <c r="N51" s="185">
        <f>ABS(L51/O51)</f>
        <v>0.82935455957470305</v>
      </c>
      <c r="O51" s="186">
        <f>P51/15.87/100</f>
        <v>1.207239445494644E-2</v>
      </c>
      <c r="P51" s="187" cm="1">
        <f t="array" ref="P51">_xll.BDP($A51&amp;" Index","VOLATILITY_30D")</f>
        <v>19.15889</v>
      </c>
      <c r="Q51" s="187" cm="1">
        <f t="array" aca="1" ref="Q51" ca="1">(_xll.BDP(($B51&amp; " Equity"),"CORR_COEF", "BETA_OVERRIDE_REL_INDEX",($C51&amp; " Equity"),"BETA_OVERRIDE_END_DT",$Q$5,"BETA_OVERRIDE_START_DT",$Q$4))*100</f>
        <v>88.610452899436439</v>
      </c>
      <c r="R51" s="183"/>
      <c r="S51" s="183" cm="1">
        <f t="array" ref="S51">_xll.BDP($A51&amp;" Index","CHG_PCT_2D")/100</f>
        <v>-6.681874E-3</v>
      </c>
      <c r="T51" s="183" cm="1">
        <f t="array" ref="T51">_xll.BDP($A51&amp;" Index","CHG_PCT_5D")/100</f>
        <v>-1.272643E-3</v>
      </c>
      <c r="U51" s="183" cm="1">
        <f t="array" ref="U51">K51/_xll.BDP($A51&amp;" Index","HIGH_52WEEK")-1</f>
        <v>-2.7573151550585151E-2</v>
      </c>
      <c r="V51" s="183" cm="1">
        <f t="array" ref="V51">K51/_xll.BDP($A51&amp;" Index","LOW_52WEEK")-1</f>
        <v>0.50794815172515051</v>
      </c>
      <c r="W51" s="183"/>
      <c r="X51" s="187" cm="1">
        <f t="array" ref="X51">_xll.BDP($A51&amp;" Index","RSI_14D")</f>
        <v>64.111670000000004</v>
      </c>
      <c r="Y51" s="188"/>
      <c r="Z51" s="189">
        <f>Y51/K51-1</f>
        <v>-1</v>
      </c>
      <c r="AA51" s="188"/>
      <c r="AB51" s="189">
        <f>AA51/K51-1</f>
        <v>-1</v>
      </c>
      <c r="AC51" s="188"/>
      <c r="AD51" s="183" t="e">
        <f>K51/AC51-1</f>
        <v>#DIV/0!</v>
      </c>
      <c r="AE51" s="183"/>
      <c r="AF51" s="190" t="e">
        <f>IF(ISTEXT(B51),_xll.BDP(B51 &amp; " Equity","EXPECTED_REPORT_DT")*1,"")</f>
        <v>#VALUE!</v>
      </c>
      <c r="AG51" s="190" t="e">
        <f>IF(ISTEXT(C51),_xll.BDP(C51 &amp; " Equity","EXPECTED_REPORT_DT")*1,"")</f>
        <v>#VALUE!</v>
      </c>
      <c r="AH51" s="191" cm="1">
        <f t="array" ref="AH51">(_xll.BDP(B51&amp;" Equity","SHORT_INT")/_xll.BDP(B51&amp;" Equity","VOLUME_AVG_90D"))</f>
        <v>1.1624430766047966</v>
      </c>
      <c r="AI51" s="191" cm="1">
        <f t="array" ref="AI51">(_xll.BDP(C51&amp;" Equity","SHORT_INT")/_xll.BDP(C51&amp;" Equity","VOLUME_AVG_90D"))</f>
        <v>0.80858183712713494</v>
      </c>
      <c r="AJ51" s="191" t="e" cm="1">
        <f t="array" ref="AJ51">(_xll.BDP(B51&amp;" Equity","SHORT_INT"))/((_xll.BDP(B51&amp;" Equity","EQY_FREE_FLOAT_PCT"))*(_xll.BDP(B51&amp;" Equity","EQY_SH_OUT_TOT_MULT_SH")))/100</f>
        <v>#VALUE!</v>
      </c>
      <c r="AK51" s="191" t="e" cm="1">
        <f t="array" ref="AK51">(_xll.BDP(C51&amp;" Equity","SHORT_INT"))/((_xll.BDP(C51&amp;" Equity","EQY_FREE_FLOAT_PCT"))*(_xll.BDP(C51&amp;" Equity","EQY_SH_OUT_TOT_MULT_SH")))/100</f>
        <v>#VALUE!</v>
      </c>
      <c r="AM51" s="189" t="e">
        <f ca="1">IF(ISTEXT(B51),AP51/_xll.BDH(B51 &amp;  " Equity","BEST_EPS",$AM$3,$AM$3,"BEST_FPERIOD_OVERRIDE=1BF","CDR=US","Fill=p")-1,"")</f>
        <v>#VALUE!</v>
      </c>
      <c r="AN51" s="189" t="e">
        <f ca="1">IF(ISTEXT(B51),AP51/_xll.BDH(B51 &amp;  " Equity","BEST_EPS",$AN$3,$AN$3,"BEST_FPERIOD_OVERRIDE=1BF","CDR=US","Fill=p")-1,"")</f>
        <v>#VALUE!</v>
      </c>
      <c r="AO51" s="191" t="e">
        <f ca="1">G51/AP51</f>
        <v>#VALUE!</v>
      </c>
      <c r="AP51" s="191" t="str" cm="1">
        <f t="array" aca="1" ref="AP51" ca="1">IF(ISTEXT(B51),_xll.BDH(B51 &amp;  " Equity","BEST_EPS",$Q$3,$Q$3,"BEST_FPERIOD_OVERRIDE=1BF","CDR=US","Fill=p"),"")</f>
        <v>#N/A N/A</v>
      </c>
      <c r="AR51" s="189" t="e">
        <f ca="1">IF(ISTEXT(C51),AU51/_xll.BDH(C51 &amp;  " Equity","BEST_EPS",$AM$3,$AM$3,"BEST_FPERIOD_OVERRIDE=1BF","CDR=US","Fill=p")-1,"")</f>
        <v>#VALUE!</v>
      </c>
      <c r="AS51" s="189" t="e">
        <f ca="1">IF(ISTEXT(C51),AU51/_xll.BDH(C51 &amp;  " Equity","BEST_EPS",$AN$3,$AN$3,"BEST_FPERIOD_OVERRIDE=1BF","CDR=US","Fill=p")-1,"")</f>
        <v>#VALUE!</v>
      </c>
      <c r="AT51" s="191" t="e">
        <f ca="1">I51/AU51</f>
        <v>#VALUE!</v>
      </c>
      <c r="AU51" s="191" t="str" cm="1">
        <f t="array" aca="1" ref="AU51" ca="1">IF(ISTEXT(C51),_xll.BDH(C51 &amp;  " Equity","BEST_EPS",$Q$3,$Q$3,"BEST_FPERIOD_OVERRIDE=1BF","CDR=US","Fill=p"),"")</f>
        <v>#N/A N/A</v>
      </c>
    </row>
    <row r="52" spans="1:47">
      <c r="A52" t="str">
        <f t="shared" si="25"/>
        <v>.KBWBRSP</v>
      </c>
      <c r="B52" s="181" t="s">
        <v>6</v>
      </c>
      <c r="C52" s="181" t="s">
        <v>3</v>
      </c>
      <c r="D52" s="181"/>
      <c r="E52" s="181"/>
      <c r="F52" s="181" t="s">
        <v>78</v>
      </c>
      <c r="G52" s="182" cm="1">
        <f t="array" ref="G52">_xll.BDP(B52&amp;" Equity","LAST PRICE")</f>
        <v>88.35</v>
      </c>
      <c r="H52" s="183" cm="1">
        <f t="array" ref="H52">G52/_xll.BDP(B52&amp;" Equity", "PREV_CLOSE_VAL")-1</f>
        <v>8.1013235965312624E-3</v>
      </c>
      <c r="I52" s="182" cm="1">
        <f t="array" ref="I52">_xll.BDP(C52&amp;" Equity","LAST PRICE")</f>
        <v>198.57</v>
      </c>
      <c r="J52" s="183" cm="1">
        <f t="array" ref="J52">I52/_xll.BDP(C52&amp;" Equity", "PREV_CLOSE_VAL")-1</f>
        <v>-2.6619789050728038E-3</v>
      </c>
      <c r="K52" s="184">
        <f>G52/I52</f>
        <v>0.44493125849826254</v>
      </c>
      <c r="L52" s="183" cm="1">
        <f t="array" ref="L52">K52/(_xll.BDP(B52&amp;" Equity", "PREV_CLOSE_VAL")/_xll.BDP(C52&amp;" Equity", "PREV_CLOSE_VAL"))-1</f>
        <v>1.0792030659562579E-2</v>
      </c>
      <c r="M52" s="183"/>
      <c r="N52" s="185">
        <f>ABS(L52/O52)</f>
        <v>1.2842549663489184</v>
      </c>
      <c r="O52" s="186">
        <f>P52/15.87/100</f>
        <v>8.403339634530561E-3</v>
      </c>
      <c r="P52" s="187" cm="1">
        <f t="array" ref="P52">_xll.BDP($A52&amp;" Index","VOLATILITY_30D")</f>
        <v>13.3361</v>
      </c>
      <c r="Q52" s="187" cm="1">
        <f t="array" aca="1" ref="Q52" ca="1">(_xll.BDP(($B52&amp; " Equity"),"CORR_COEF", "BETA_OVERRIDE_REL_INDEX",($C52&amp; " Equity"),"BETA_OVERRIDE_END_DT",$Q$5,"BETA_OVERRIDE_START_DT",$Q$4))*100</f>
        <v>63.354732309990126</v>
      </c>
      <c r="R52" s="183"/>
      <c r="S52" s="183" cm="1">
        <f t="array" ref="S52">_xll.BDP($A52&amp;" Index","CHG_PCT_2D")/100</f>
        <v>2.3237169999999998E-2</v>
      </c>
      <c r="T52" s="183" cm="1">
        <f t="array" ref="T52">_xll.BDP($A52&amp;" Index","CHG_PCT_5D")/100</f>
        <v>3.6162489999999999E-2</v>
      </c>
      <c r="U52" s="183" cm="1">
        <f t="array" ref="U52">K52/_xll.BDP($A52&amp;" Index","HIGH_52WEEK")-1</f>
        <v>-1.4155680009167448E-2</v>
      </c>
      <c r="V52" s="183" cm="1">
        <f t="array" ref="V52">K52/_xll.BDP($A52&amp;" Index","LOW_52WEEK")-1</f>
        <v>0.30719880864430626</v>
      </c>
      <c r="W52" s="183"/>
      <c r="X52" s="187" cm="1">
        <f t="array" ref="X52">_xll.BDP($A52&amp;" Index","RSI_14D")</f>
        <v>58.156390000000002</v>
      </c>
      <c r="Y52" s="188"/>
      <c r="Z52" s="189">
        <f>Y52/K52-1</f>
        <v>-1</v>
      </c>
      <c r="AA52" s="188"/>
      <c r="AB52" s="189">
        <f>AA52/K52-1</f>
        <v>-1</v>
      </c>
      <c r="AC52" s="188"/>
      <c r="AD52" s="183" t="e">
        <f>K52/AC52-1</f>
        <v>#DIV/0!</v>
      </c>
      <c r="AE52" s="183"/>
      <c r="AF52" s="190" t="e">
        <f>IF(ISTEXT(B52),_xll.BDP(B52 &amp; " Equity","EXPECTED_REPORT_DT")*1,"")</f>
        <v>#VALUE!</v>
      </c>
      <c r="AG52" s="190" t="e">
        <f>IF(ISTEXT(C52),_xll.BDP(C52 &amp; " Equity","EXPECTED_REPORT_DT")*1,"")</f>
        <v>#VALUE!</v>
      </c>
      <c r="AH52" s="191" cm="1">
        <f t="array" ref="AH52">(_xll.BDP(B52&amp;" Equity","SHORT_INT")/_xll.BDP(B52&amp;" Equity","VOLUME_AVG_90D"))</f>
        <v>1.9326343820981295</v>
      </c>
      <c r="AI52" s="191" cm="1">
        <f t="array" ref="AI52">(_xll.BDP(C52&amp;" Equity","SHORT_INT")/_xll.BDP(C52&amp;" Equity","VOLUME_AVG_90D"))</f>
        <v>2.2194136398088471</v>
      </c>
      <c r="AJ52" s="191" t="e" cm="1">
        <f t="array" ref="AJ52">(_xll.BDP(B52&amp;" Equity","SHORT_INT"))/((_xll.BDP(B52&amp;" Equity","EQY_FREE_FLOAT_PCT"))*(_xll.BDP(B52&amp;" Equity","EQY_SH_OUT_TOT_MULT_SH")))/100</f>
        <v>#VALUE!</v>
      </c>
      <c r="AK52" s="191" t="e" cm="1">
        <f t="array" ref="AK52">(_xll.BDP(C52&amp;" Equity","SHORT_INT"))/((_xll.BDP(C52&amp;" Equity","EQY_FREE_FLOAT_PCT"))*(_xll.BDP(C52&amp;" Equity","EQY_SH_OUT_TOT_MULT_SH")))/100</f>
        <v>#VALUE!</v>
      </c>
      <c r="AM52" s="189" t="e">
        <f ca="1">IF(ISTEXT(B52),AP52/_xll.BDH(B52 &amp;  " Equity","BEST_EPS",$AM$3,$AM$3,"BEST_FPERIOD_OVERRIDE=1BF","CDR=US","Fill=p")-1,"")</f>
        <v>#VALUE!</v>
      </c>
      <c r="AN52" s="189" t="e">
        <f ca="1">IF(ISTEXT(B52),AP52/_xll.BDH(B52 &amp;  " Equity","BEST_EPS",$AN$3,$AN$3,"BEST_FPERIOD_OVERRIDE=1BF","CDR=US","Fill=p")-1,"")</f>
        <v>#VALUE!</v>
      </c>
      <c r="AO52" s="191" t="e">
        <f ca="1">G52/AP52</f>
        <v>#VALUE!</v>
      </c>
      <c r="AP52" s="191" t="str" cm="1">
        <f t="array" aca="1" ref="AP52" ca="1">IF(ISTEXT(B52),_xll.BDH(B52 &amp;  " Equity","BEST_EPS",$Q$3,$Q$3,"BEST_FPERIOD_OVERRIDE=1BF","CDR=US","Fill=p"),"")</f>
        <v>#N/A N/A</v>
      </c>
      <c r="AR52" s="189" t="e">
        <f ca="1">IF(ISTEXT(C52),AU52/_xll.BDH(C52 &amp;  " Equity","BEST_EPS",$AM$3,$AM$3,"BEST_FPERIOD_OVERRIDE=1BF","CDR=US","Fill=p")-1,"")</f>
        <v>#VALUE!</v>
      </c>
      <c r="AS52" s="189" t="e">
        <f ca="1">IF(ISTEXT(C52),AU52/_xll.BDH(C52 &amp;  " Equity","BEST_EPS",$AN$3,$AN$3,"BEST_FPERIOD_OVERRIDE=1BF","CDR=US","Fill=p")-1,"")</f>
        <v>#VALUE!</v>
      </c>
      <c r="AT52" s="191" t="e">
        <f ca="1">I52/AU52</f>
        <v>#VALUE!</v>
      </c>
      <c r="AU52" s="191" t="str" cm="1">
        <f t="array" aca="1" ref="AU52" ca="1">IF(ISTEXT(C52),_xll.BDH(C52 &amp;  " Equity","BEST_EPS",$Q$3,$Q$3,"BEST_FPERIOD_OVERRIDE=1BF","CDR=US","Fill=p"),"")</f>
        <v>#N/A N/A</v>
      </c>
    </row>
    <row r="53" spans="1:47">
      <c r="A53" t="str">
        <f t="shared" si="25"/>
        <v>.KBWBSPY</v>
      </c>
      <c r="B53" s="181" t="s">
        <v>6</v>
      </c>
      <c r="C53" s="181" t="s">
        <v>0</v>
      </c>
      <c r="D53" s="181"/>
      <c r="E53" s="181"/>
      <c r="F53" s="181" t="s">
        <v>78</v>
      </c>
      <c r="G53" s="182" cm="1">
        <f t="array" ref="G53">_xll.BDP(B53&amp;" Equity","LAST PRICE")</f>
        <v>88.35</v>
      </c>
      <c r="H53" s="183" cm="1">
        <f t="array" ref="H53">G53/_xll.BDP(B53&amp;" Equity", "PREV_CLOSE_VAL")-1</f>
        <v>8.1013235965312624E-3</v>
      </c>
      <c r="I53" s="182" cm="1">
        <f t="array" ref="I53">_xll.BDP(C53&amp;" Equity","LAST PRICE")</f>
        <v>689.53</v>
      </c>
      <c r="J53" s="183" cm="1">
        <f t="array" ref="J53">I53/_xll.BDP(C53&amp;" Equity", "PREV_CLOSE_VAL")-1</f>
        <v>-8.4554435512862458E-3</v>
      </c>
      <c r="K53" s="184">
        <f>G53/I53</f>
        <v>0.1281307557321654</v>
      </c>
      <c r="L53" s="183" cm="1">
        <f t="array" ref="L53">K53/(_xll.BDP(B53&amp;" Equity", "PREV_CLOSE_VAL")/_xll.BDP(C53&amp;" Equity", "PREV_CLOSE_VAL"))-1</f>
        <v>1.6697955770254902E-2</v>
      </c>
      <c r="M53" s="183"/>
      <c r="N53" s="185">
        <f>ABS(L53/O53)</f>
        <v>1.6772836391447976</v>
      </c>
      <c r="O53" s="186">
        <f>P53/15.87/100</f>
        <v>9.9553560176433523E-3</v>
      </c>
      <c r="P53" s="187" cm="1">
        <f t="array" ref="P53">_xll.BDP($A53&amp;" Index","VOLATILITY_30D")</f>
        <v>15.799149999999999</v>
      </c>
      <c r="Q53" s="187" cm="1">
        <f t="array" aca="1" ref="Q53" ca="1">(_xll.BDP(($B53&amp; " Equity"),"CORR_COEF", "BETA_OVERRIDE_REL_INDEX",($C53&amp; " Equity"),"BETA_OVERRIDE_END_DT",$Q$5,"BETA_OVERRIDE_START_DT",$Q$4))*100</f>
        <v>58.985700038144543</v>
      </c>
      <c r="R53" s="183"/>
      <c r="S53" s="183" cm="1">
        <f t="array" ref="S53">_xll.BDP($A53&amp;" Index","CHG_PCT_2D")/100</f>
        <v>2.9204819999999999E-2</v>
      </c>
      <c r="T53" s="183" cm="1">
        <f t="array" ref="T53">_xll.BDP($A53&amp;" Index","CHG_PCT_5D")/100</f>
        <v>4.3031879999999995E-2</v>
      </c>
      <c r="U53" s="183" cm="1">
        <f t="array" ref="U53">K53/_xll.BDP($A53&amp;" Index","HIGH_52WEEK")-1</f>
        <v>1.6201492596512601E-4</v>
      </c>
      <c r="V53" s="183" cm="1">
        <f t="array" ref="V53">K53/_xll.BDP($A53&amp;" Index","LOW_52WEEK")-1</f>
        <v>0.22824727503992914</v>
      </c>
      <c r="W53" s="183"/>
      <c r="X53" s="187" cm="1">
        <f t="array" ref="X53">_xll.BDP($A53&amp;" Index","RSI_14D")</f>
        <v>58.263019999999997</v>
      </c>
      <c r="Y53" s="188"/>
      <c r="Z53" s="189">
        <f>Y53/K53-1</f>
        <v>-1</v>
      </c>
      <c r="AA53" s="188"/>
      <c r="AB53" s="189">
        <f>AA53/K53-1</f>
        <v>-1</v>
      </c>
      <c r="AC53" s="188"/>
      <c r="AD53" s="183" t="e">
        <f>K53/AC53-1</f>
        <v>#DIV/0!</v>
      </c>
      <c r="AE53" s="183"/>
      <c r="AF53" s="190" t="e">
        <f>IF(ISTEXT(B53),_xll.BDP(B53 &amp; " Equity","EXPECTED_REPORT_DT")*1,"")</f>
        <v>#VALUE!</v>
      </c>
      <c r="AG53" s="190" t="e">
        <f>IF(ISTEXT(C53),_xll.BDP(C53 &amp; " Equity","EXPECTED_REPORT_DT")*1,"")</f>
        <v>#VALUE!</v>
      </c>
      <c r="AH53" s="191" cm="1">
        <f t="array" ref="AH53">(_xll.BDP(B53&amp;" Equity","SHORT_INT")/_xll.BDP(B53&amp;" Equity","VOLUME_AVG_90D"))</f>
        <v>1.9326343820981295</v>
      </c>
      <c r="AI53" s="191" cm="1">
        <f t="array" ref="AI53">(_xll.BDP(C53&amp;" Equity","SHORT_INT")/_xll.BDP(C53&amp;" Equity","VOLUME_AVG_90D"))</f>
        <v>1.3531936707607752</v>
      </c>
      <c r="AJ53" s="191" t="e" cm="1">
        <f t="array" ref="AJ53">(_xll.BDP(B53&amp;" Equity","SHORT_INT"))/((_xll.BDP(B53&amp;" Equity","EQY_FREE_FLOAT_PCT"))*(_xll.BDP(B53&amp;" Equity","EQY_SH_OUT_TOT_MULT_SH")))/100</f>
        <v>#VALUE!</v>
      </c>
      <c r="AK53" s="191" t="e" cm="1">
        <f t="array" ref="AK53">(_xll.BDP(C53&amp;" Equity","SHORT_INT"))/((_xll.BDP(C53&amp;" Equity","EQY_FREE_FLOAT_PCT"))*(_xll.BDP(C53&amp;" Equity","EQY_SH_OUT_TOT_MULT_SH")))/100</f>
        <v>#VALUE!</v>
      </c>
      <c r="AM53" s="189" t="e">
        <f ca="1">IF(ISTEXT(B53),AP53/_xll.BDH(B53 &amp;  " Equity","BEST_EPS",$AM$3,$AM$3,"BEST_FPERIOD_OVERRIDE=1BF","CDR=US","Fill=p")-1,"")</f>
        <v>#VALUE!</v>
      </c>
      <c r="AN53" s="189" t="e">
        <f ca="1">IF(ISTEXT(B53),AP53/_xll.BDH(B53 &amp;  " Equity","BEST_EPS",$AN$3,$AN$3,"BEST_FPERIOD_OVERRIDE=1BF","CDR=US","Fill=p")-1,"")</f>
        <v>#VALUE!</v>
      </c>
      <c r="AO53" s="191" t="e">
        <f ca="1">G53/AP53</f>
        <v>#VALUE!</v>
      </c>
      <c r="AP53" s="191" t="str" cm="1">
        <f t="array" aca="1" ref="AP53" ca="1">IF(ISTEXT(B53),_xll.BDH(B53 &amp;  " Equity","BEST_EPS",$Q$3,$Q$3,"BEST_FPERIOD_OVERRIDE=1BF","CDR=US","Fill=p"),"")</f>
        <v>#N/A N/A</v>
      </c>
      <c r="AR53" s="189" t="e">
        <f ca="1">IF(ISTEXT(C53),AU53/_xll.BDH(C53 &amp;  " Equity","BEST_EPS",$AM$3,$AM$3,"BEST_FPERIOD_OVERRIDE=1BF","CDR=US","Fill=p")-1,"")</f>
        <v>#VALUE!</v>
      </c>
      <c r="AS53" s="189" t="e">
        <f ca="1">IF(ISTEXT(C53),AU53/_xll.BDH(C53 &amp;  " Equity","BEST_EPS",$AN$3,$AN$3,"BEST_FPERIOD_OVERRIDE=1BF","CDR=US","Fill=p")-1,"")</f>
        <v>#VALUE!</v>
      </c>
      <c r="AT53" s="191" t="e">
        <f ca="1">I53/AU53</f>
        <v>#VALUE!</v>
      </c>
      <c r="AU53" s="191" t="str" cm="1">
        <f t="array" aca="1" ref="AU53" ca="1">IF(ISTEXT(C53),_xll.BDH(C53 &amp;  " Equity","BEST_EPS",$Q$3,$Q$3,"BEST_FPERIOD_OVERRIDE=1BF","CDR=US","Fill=p"),"")</f>
        <v>#N/A N/A</v>
      </c>
    </row>
    <row r="54" spans="1:47">
      <c r="A54" t="str">
        <f>"."&amp;B54&amp;C54</f>
        <v>.KBWBKRE</v>
      </c>
      <c r="B54" s="181" t="s">
        <v>6</v>
      </c>
      <c r="C54" s="181" t="s">
        <v>71</v>
      </c>
      <c r="D54" s="181"/>
      <c r="E54" s="181"/>
      <c r="F54" s="181" t="s">
        <v>78</v>
      </c>
      <c r="G54" s="182" cm="1">
        <f t="array" ref="G54">_xll.BDP(B54&amp;" Equity","LAST PRICE")</f>
        <v>88.35</v>
      </c>
      <c r="H54" s="183" cm="1">
        <f t="array" ref="H54">G54/_xll.BDP(B54&amp;" Equity", "PREV_CLOSE_VAL")-1</f>
        <v>8.1013235965312624E-3</v>
      </c>
      <c r="I54" s="182" cm="1">
        <f t="array" ref="I54">_xll.BDP(C54&amp;" Equity","LAST PRICE")</f>
        <v>71.239999999999995</v>
      </c>
      <c r="J54" s="183" cm="1">
        <f t="array" ref="J54">I54/_xll.BDP(C54&amp;" Equity", "PREV_CLOSE_VAL")-1</f>
        <v>1.713306681896043E-2</v>
      </c>
      <c r="K54" s="184">
        <f>G54/I54</f>
        <v>1.2401740595171251</v>
      </c>
      <c r="L54" s="183" cm="1">
        <f t="array" ref="L54">K54/(_xll.BDP(B54&amp;" Equity", "PREV_CLOSE_VAL")/_xll.BDP(C54&amp;" Equity", "PREV_CLOSE_VAL"))-1</f>
        <v>-8.8796083000974857E-3</v>
      </c>
      <c r="M54" s="183"/>
      <c r="N54" s="185">
        <f>ABS(L54/O54)</f>
        <v>1.047732433918271</v>
      </c>
      <c r="O54" s="186">
        <f>P54/15.87/100</f>
        <v>8.4750724637681161E-3</v>
      </c>
      <c r="P54" s="187" cm="1">
        <f t="array" ref="P54">_xll.BDP($A54&amp;" Index","VOLATILITY_30D")</f>
        <v>13.44994</v>
      </c>
      <c r="Q54" s="187" cm="1">
        <f t="array" aca="1" ref="Q54" ca="1">(_xll.BDP(($B54&amp; " Equity"),"CORR_COEF", "BETA_OVERRIDE_REL_INDEX",($C54&amp; " Equity"),"BETA_OVERRIDE_END_DT",$Q$5,"BETA_OVERRIDE_START_DT",$Q$4))*100</f>
        <v>77.984306825988682</v>
      </c>
      <c r="R54" s="183"/>
      <c r="S54" s="183" cm="1">
        <f t="array" ref="S54">_xll.BDP($A54&amp;" Index","CHG_PCT_2D")/100</f>
        <v>-1.012593E-2</v>
      </c>
      <c r="T54" s="183" cm="1">
        <f t="array" ref="T54">_xll.BDP($A54&amp;" Index","CHG_PCT_5D")/100</f>
        <v>-9.8824910000000002E-3</v>
      </c>
      <c r="U54" s="183" cm="1">
        <f t="array" ref="U54">K54/_xll.BDP($A54&amp;" Index","HIGH_52WEEK")-1</f>
        <v>-6.0374540089763284E-2</v>
      </c>
      <c r="V54" s="183" cm="1">
        <f t="array" ref="V54">K54/_xll.BDP($A54&amp;" Index","LOW_52WEEK")-1</f>
        <v>0.14189146143169862</v>
      </c>
      <c r="W54" s="183"/>
      <c r="X54" s="187" cm="1">
        <f t="array" ref="X54">_xll.BDP($A54&amp;" Index","RSI_14D")</f>
        <v>42.178870000000003</v>
      </c>
      <c r="Y54" s="188"/>
      <c r="Z54" s="189">
        <f>Y54/K54-1</f>
        <v>-1</v>
      </c>
      <c r="AA54" s="188"/>
      <c r="AB54" s="189">
        <f>AA54/K54-1</f>
        <v>-1</v>
      </c>
      <c r="AC54" s="188"/>
      <c r="AD54" s="183" t="e">
        <f>K54/AC54-1</f>
        <v>#DIV/0!</v>
      </c>
      <c r="AE54" s="183"/>
      <c r="AF54" s="190" t="e">
        <f>IF(ISTEXT(B54),_xll.BDP(B54 &amp; " Equity","EXPECTED_REPORT_DT")*1,"")</f>
        <v>#VALUE!</v>
      </c>
      <c r="AG54" s="190" t="e">
        <f>IF(ISTEXT(C54),_xll.BDP(C54 &amp; " Equity","EXPECTED_REPORT_DT")*1,"")</f>
        <v>#VALUE!</v>
      </c>
      <c r="AH54" s="191" cm="1">
        <f t="array" ref="AH54">(_xll.BDP(B54&amp;" Equity","SHORT_INT")/_xll.BDP(B54&amp;" Equity","VOLUME_AVG_90D"))</f>
        <v>1.9326343820981295</v>
      </c>
      <c r="AI54" s="191" cm="1">
        <f t="array" ref="AI54">(_xll.BDP(C54&amp;" Equity","SHORT_INT")/_xll.BDP(C54&amp;" Equity","VOLUME_AVG_90D"))</f>
        <v>2.586763456003919</v>
      </c>
      <c r="AJ54" s="191" t="e" cm="1">
        <f t="array" ref="AJ54">(_xll.BDP(B54&amp;" Equity","SHORT_INT"))/((_xll.BDP(B54&amp;" Equity","EQY_FREE_FLOAT_PCT"))*(_xll.BDP(B54&amp;" Equity","EQY_SH_OUT_TOT_MULT_SH")))/100</f>
        <v>#VALUE!</v>
      </c>
      <c r="AK54" s="191" t="e" cm="1">
        <f t="array" ref="AK54">(_xll.BDP(C54&amp;" Equity","SHORT_INT"))/((_xll.BDP(C54&amp;" Equity","EQY_FREE_FLOAT_PCT"))*(_xll.BDP(C54&amp;" Equity","EQY_SH_OUT_TOT_MULT_SH")))/100</f>
        <v>#VALUE!</v>
      </c>
      <c r="AM54" s="189" t="e">
        <f ca="1">IF(ISTEXT(B54),AP54/_xll.BDH(B54 &amp;  " Equity","BEST_EPS",$AM$3,$AM$3,"BEST_FPERIOD_OVERRIDE=1BF","CDR=US","Fill=p")-1,"")</f>
        <v>#VALUE!</v>
      </c>
      <c r="AN54" s="189" t="e">
        <f ca="1">IF(ISTEXT(B54),AP54/_xll.BDH(B54 &amp;  " Equity","BEST_EPS",$AN$3,$AN$3,"BEST_FPERIOD_OVERRIDE=1BF","CDR=US","Fill=p")-1,"")</f>
        <v>#VALUE!</v>
      </c>
      <c r="AO54" s="191" t="e">
        <f ca="1">G54/AP54</f>
        <v>#VALUE!</v>
      </c>
      <c r="AP54" s="191" t="str" cm="1">
        <f t="array" aca="1" ref="AP54" ca="1">IF(ISTEXT(B54),_xll.BDH(B54 &amp;  " Equity","BEST_EPS",$Q$3,$Q$3,"BEST_FPERIOD_OVERRIDE=1BF","CDR=US","Fill=p"),"")</f>
        <v>#N/A N/A</v>
      </c>
      <c r="AR54" s="189" t="e">
        <f ca="1">IF(ISTEXT(C54),AU54/_xll.BDH(C54 &amp;  " Equity","BEST_EPS",$AM$3,$AM$3,"BEST_FPERIOD_OVERRIDE=1BF","CDR=US","Fill=p")-1,"")</f>
        <v>#VALUE!</v>
      </c>
      <c r="AS54" s="189" t="e">
        <f ca="1">IF(ISTEXT(C54),AU54/_xll.BDH(C54 &amp;  " Equity","BEST_EPS",$AN$3,$AN$3,"BEST_FPERIOD_OVERRIDE=1BF","CDR=US","Fill=p")-1,"")</f>
        <v>#VALUE!</v>
      </c>
      <c r="AT54" s="191" t="e">
        <f ca="1">I54/AU54</f>
        <v>#VALUE!</v>
      </c>
      <c r="AU54" s="191" t="str" cm="1">
        <f t="array" aca="1" ref="AU54" ca="1">IF(ISTEXT(C54),_xll.BDH(C54 &amp;  " Equity","BEST_EPS",$Q$3,$Q$3,"BEST_FPERIOD_OVERRIDE=1BF","CDR=US","Fill=p"),"")</f>
        <v>#N/A N/A</v>
      </c>
    </row>
    <row r="55" spans="1:47">
      <c r="B55" s="181"/>
      <c r="C55" s="181"/>
      <c r="D55" s="181"/>
      <c r="E55" s="181"/>
      <c r="F55" s="181"/>
      <c r="G55" s="182" t="str" cm="1">
        <f t="array" ref="G55">_xll.BDP(B55&amp;" Equity","LAST PRICE")</f>
        <v>#N/A Invalid Security</v>
      </c>
      <c r="H55" s="183" t="e" cm="1">
        <f t="array" ref="H55">G55/_xll.BDP(B55&amp;" Equity", "PREV_CLOSE_VAL")-1</f>
        <v>#VALUE!</v>
      </c>
      <c r="I55" s="182" t="str" cm="1">
        <f t="array" ref="I55">_xll.BDP(C55&amp;" Equity","LAST PRICE")</f>
        <v>#N/A Invalid Security</v>
      </c>
      <c r="J55" s="183" t="e" cm="1">
        <f t="array" ref="J55">I55/_xll.BDP(C55&amp;" Equity", "PREV_CLOSE_VAL")-1</f>
        <v>#VALUE!</v>
      </c>
      <c r="K55" s="184" t="e">
        <f t="shared" si="18"/>
        <v>#VALUE!</v>
      </c>
      <c r="L55" s="183" t="e" cm="1">
        <f t="array" ref="L55">K55/(_xll.BDP(B55&amp;" Equity", "PREV_CLOSE_VAL")/_xll.BDP(C55&amp;" Equity", "PREV_CLOSE_VAL"))-1</f>
        <v>#VALUE!</v>
      </c>
      <c r="M55" s="183"/>
      <c r="N55" s="185" t="e">
        <f t="shared" si="19"/>
        <v>#VALUE!</v>
      </c>
      <c r="O55" s="186" t="e">
        <f t="shared" si="17"/>
        <v>#VALUE!</v>
      </c>
      <c r="P55" s="187" t="str" cm="1">
        <f t="array" ref="P55">_xll.BDP($A55&amp;" Index","VOLATILITY_30D")</f>
        <v>#N/A Invalid Security</v>
      </c>
      <c r="Q55" s="187" t="e" cm="1">
        <f t="array" aca="1" ref="Q55" ca="1">(_xll.BDP(($B55&amp; " Equity"),"CORR_COEF", "BETA_OVERRIDE_REL_INDEX",($C55&amp; " Equity"),"BETA_OVERRIDE_END_DT",$Q$5,"BETA_OVERRIDE_START_DT",$Q$4))*100</f>
        <v>#VALUE!</v>
      </c>
      <c r="R55" s="183"/>
      <c r="S55" s="183" t="e" cm="1">
        <f t="array" ref="S55">_xll.BDP($A55&amp;" Index","CHG_PCT_2D")/100</f>
        <v>#VALUE!</v>
      </c>
      <c r="T55" s="183" t="e" cm="1">
        <f t="array" ref="T55">_xll.BDP($A55&amp;" Index","CHG_PCT_5D")/100</f>
        <v>#VALUE!</v>
      </c>
      <c r="U55" s="183" t="e" cm="1">
        <f t="array" ref="U55">K55/_xll.BDP($A55&amp;" Index","HIGH_52WEEK")-1</f>
        <v>#VALUE!</v>
      </c>
      <c r="V55" s="183" t="e" cm="1">
        <f t="array" ref="V55">K55/_xll.BDP($A55&amp;" Index","LOW_52WEEK")-1</f>
        <v>#VALUE!</v>
      </c>
      <c r="W55" s="183"/>
      <c r="X55" s="187" t="str" cm="1">
        <f t="array" ref="X55">_xll.BDP($A55&amp;" Index","RSI_14D")</f>
        <v>#N/A Invalid Security</v>
      </c>
      <c r="Y55" s="188"/>
      <c r="Z55" s="189" t="e">
        <f t="shared" si="20"/>
        <v>#VALUE!</v>
      </c>
      <c r="AA55" s="188"/>
      <c r="AB55" s="189" t="e">
        <f t="shared" si="21"/>
        <v>#VALUE!</v>
      </c>
      <c r="AC55" s="188"/>
      <c r="AD55" s="183" t="e">
        <f t="shared" si="22"/>
        <v>#VALUE!</v>
      </c>
      <c r="AE55" s="183"/>
      <c r="AF55" s="190" t="str">
        <f>IF(ISTEXT(B55),_xll.BDP(B55 &amp; " Equity","EXPECTED_REPORT_DT")*1,"")</f>
        <v/>
      </c>
      <c r="AG55" s="190" t="str">
        <f>IF(ISTEXT(C55),_xll.BDP(C55 &amp; " Equity","EXPECTED_REPORT_DT")*1,"")</f>
        <v/>
      </c>
      <c r="AH55" s="191" t="e" cm="1">
        <f t="array" ref="AH55">(_xll.BDP(B55&amp;" Equity","SHORT_INT")/_xll.BDP(B55&amp;" Equity","VOLUME_AVG_90D"))</f>
        <v>#VALUE!</v>
      </c>
      <c r="AI55" s="191" t="e" cm="1">
        <f t="array" ref="AI55">(_xll.BDP(C55&amp;" Equity","SHORT_INT")/_xll.BDP(C55&amp;" Equity","VOLUME_AVG_90D"))</f>
        <v>#VALUE!</v>
      </c>
      <c r="AJ55" s="191" t="e" cm="1">
        <f t="array" ref="AJ55">(_xll.BDP(B55&amp;" Equity","SHORT_INT"))/((_xll.BDP(B55&amp;" Equity","EQY_FREE_FLOAT_PCT"))*(_xll.BDP(B55&amp;" Equity","EQY_SH_OUT_TOT_MULT_SH")))/100</f>
        <v>#VALUE!</v>
      </c>
      <c r="AK55" s="191" t="e" cm="1">
        <f t="array" ref="AK55">(_xll.BDP(C55&amp;" Equity","SHORT_INT"))/((_xll.BDP(C55&amp;" Equity","EQY_FREE_FLOAT_PCT"))*(_xll.BDP(C55&amp;" Equity","EQY_SH_OUT_TOT_MULT_SH")))/100</f>
        <v>#VALUE!</v>
      </c>
      <c r="AM55" s="189" t="str">
        <f>IF(ISTEXT(B55),AP55/_xll.BDH(B55 &amp;  " Equity","BEST_EPS",$AM$3,$AM$3,"BEST_FPERIOD_OVERRIDE=1BF","CDR=US","Fill=p")-1,"")</f>
        <v/>
      </c>
      <c r="AN55" s="189" t="str">
        <f>IF(ISTEXT(B55),AP55/_xll.BDH(B55 &amp;  " Equity","BEST_EPS",$AN$3,$AN$3,"BEST_FPERIOD_OVERRIDE=1BF","CDR=US","Fill=p")-1,"")</f>
        <v/>
      </c>
      <c r="AO55" s="191" t="e">
        <f t="shared" si="23"/>
        <v>#VALUE!</v>
      </c>
      <c r="AP55" s="191" t="str">
        <f>IF(ISTEXT(B55),_xll.BDH(B55 &amp;  " Equity","BEST_EPS",$Q$3,$Q$3,"BEST_FPERIOD_OVERRIDE=1BF","CDR=US","Fill=p"),"")</f>
        <v/>
      </c>
      <c r="AR55" s="189" t="str">
        <f>IF(ISTEXT(C55),AU55/_xll.BDH(C55 &amp;  " Equity","BEST_EPS",$AM$3,$AM$3,"BEST_FPERIOD_OVERRIDE=1BF","CDR=US","Fill=p")-1,"")</f>
        <v/>
      </c>
      <c r="AS55" s="189" t="str">
        <f>IF(ISTEXT(C55),AU55/_xll.BDH(C55 &amp;  " Equity","BEST_EPS",$AN$3,$AN$3,"BEST_FPERIOD_OVERRIDE=1BF","CDR=US","Fill=p")-1,"")</f>
        <v/>
      </c>
      <c r="AT55" s="191" t="e">
        <f t="shared" si="24"/>
        <v>#VALUE!</v>
      </c>
      <c r="AU55" s="191" t="str">
        <f>IF(ISTEXT(C55),_xll.BDH(C55 &amp;  " Equity","BEST_EPS",$Q$3,$Q$3,"BEST_FPERIOD_OVERRIDE=1BF","CDR=US","Fill=p"),"")</f>
        <v/>
      </c>
    </row>
  </sheetData>
  <conditionalFormatting sqref="H38 H40">
    <cfRule type="colorScale" priority="29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38 J40">
    <cfRule type="colorScale" priority="2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38 L40">
    <cfRule type="colorScale" priority="30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17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3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8:M38 L40:M40">
    <cfRule type="colorScale" priority="30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8 N40">
    <cfRule type="dataBar" priority="2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{1E61D188-3158-4A33-A4D0-D9850943BA2A}</x14:id>
        </ext>
      </extLst>
    </cfRule>
    <cfRule type="dataBar" priority="3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{A47039CF-B19D-4A92-BC99-5F7D603820FC}</x14:id>
        </ext>
      </extLst>
    </cfRule>
    <cfRule type="dataBar" priority="3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{54EAA476-D5F5-4426-AEDC-F2E2CA404C7B}</x14:id>
        </ext>
      </extLst>
    </cfRule>
  </conditionalFormatting>
  <conditionalFormatting sqref="P38 P40">
    <cfRule type="dataBar" priority="3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{AD60A0B8-02B9-4A2D-9C0D-03D0F4EBAFFC}</x14:id>
        </ext>
      </extLst>
    </cfRule>
  </conditionalFormatting>
  <conditionalFormatting sqref="P38:Q38 P40:Q40">
    <cfRule type="dataBar" priority="2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{7DB52D7A-BA47-4FC0-B6A6-E329CFFB3D35}</x14:id>
        </ext>
      </extLst>
    </cfRule>
    <cfRule type="dataBar" priority="3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{DC018DCC-37D2-4844-927C-22BA1C466447}</x14:id>
        </ext>
      </extLst>
    </cfRule>
    <cfRule type="dataBar" priority="3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{E146E672-6FE7-4CB5-898D-16C2FE62CFA2}</x14:id>
        </ext>
      </extLst>
    </cfRule>
  </conditionalFormatting>
  <conditionalFormatting sqref="Q38 Q40">
    <cfRule type="dataBar" priority="3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{B03DB0C0-767D-4948-B813-55CCEF0C93A1}</x14:id>
        </ext>
      </extLst>
    </cfRule>
  </conditionalFormatting>
  <conditionalFormatting sqref="R38 R40 W38 W40">
    <cfRule type="colorScale" priority="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8 R40">
    <cfRule type="colorScale" priority="30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8:T38 S40:T40">
    <cfRule type="colorScale" priority="30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8 W40">
    <cfRule type="colorScale" priority="3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8 X40">
    <cfRule type="dataBar" priority="2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{4932E268-F7F1-495E-A94F-AA4886C3D1DA}</x14:id>
        </ext>
      </extLst>
    </cfRule>
    <cfRule type="dataBar" priority="2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{773FD979-6E5D-4791-8D7C-899B58C64B7D}</x14:id>
        </ext>
      </extLst>
    </cfRule>
    <cfRule type="dataBar" priority="3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{18A4B4AE-14B0-4F26-AD42-59D57D91B6B8}</x14:id>
        </ext>
      </extLst>
    </cfRule>
    <cfRule type="dataBar" priority="3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{23CF1EAF-ACCF-41C3-8492-C583D4D7A964}</x14:id>
        </ext>
      </extLst>
    </cfRule>
    <cfRule type="dataBar" priority="3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{B46D8796-011B-44CE-94A6-5CA4757B930D}</x14:id>
        </ext>
      </extLst>
    </cfRule>
    <cfRule type="dataBar" priority="3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{8E7B226B-5BCE-4C04-93FE-0C00CB96EFA3}</x14:id>
        </ext>
      </extLst>
    </cfRule>
  </conditionalFormatting>
  <conditionalFormatting sqref="Z40 Z38">
    <cfRule type="colorScale" priority="30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8 AE40">
    <cfRule type="colorScale" priority="30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8:AG38 AF40:AG40">
    <cfRule type="colorScale" priority="3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0 AI38">
    <cfRule type="dataBar" priority="30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{F56D0151-C8A9-466F-82BB-BBC2FA405E92}</x14:id>
        </ext>
      </extLst>
    </cfRule>
    <cfRule type="dataBar" priority="3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{9033DE19-CC17-47AA-A04C-D85C7D420E5F}</x14:id>
        </ext>
      </extLst>
    </cfRule>
    <cfRule type="dataBar" priority="3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{4B07BB15-EE97-485B-9EDD-0920D74168FF}</x14:id>
        </ext>
      </extLst>
    </cfRule>
  </conditionalFormatting>
  <conditionalFormatting sqref="H41:H43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1:J4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1:L43">
    <cfRule type="colorScale" priority="13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47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6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1:N43">
    <cfRule type="dataBar" priority="1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{FB5B553E-C83F-4E8A-B639-65C191644A1E}</x14:id>
        </ext>
      </extLst>
    </cfRule>
    <cfRule type="dataBar" priority="1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{4D6776EF-95E3-4864-8831-3BED135D641F}</x14:id>
        </ext>
      </extLst>
    </cfRule>
    <cfRule type="dataBar" priority="1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{89407F73-4A83-4D0A-B90A-9FE6EE5D4942}</x14:id>
        </ext>
      </extLst>
    </cfRule>
  </conditionalFormatting>
  <conditionalFormatting sqref="P41:P43">
    <cfRule type="dataBar" priority="1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{8BCC5B5D-FFA8-4D03-B17A-7717318B6CF0}</x14:id>
        </ext>
      </extLst>
    </cfRule>
  </conditionalFormatting>
  <conditionalFormatting sqref="P41:Q43">
    <cfRule type="dataBar" priority="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{AE7E89EB-ECA1-4898-822B-6B542952F3E7}</x14:id>
        </ext>
      </extLst>
    </cfRule>
    <cfRule type="dataBar" priority="1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{D7B5D374-9268-4940-AABA-C3FA1D87695F}</x14:id>
        </ext>
      </extLst>
    </cfRule>
  </conditionalFormatting>
  <conditionalFormatting sqref="P41:Q43">
    <cfRule type="dataBar" priority="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{6E39F444-B7A3-47D4-A6C5-71260762D02E}</x14:id>
        </ext>
      </extLst>
    </cfRule>
    <cfRule type="dataBar" priority="1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{A5364912-1379-4A47-8932-828797992924}</x14:id>
        </ext>
      </extLst>
    </cfRule>
    <cfRule type="dataBar" priority="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{19145228-798E-40AB-AC63-B5EA635EA7F0}</x14:id>
        </ext>
      </extLst>
    </cfRule>
  </conditionalFormatting>
  <conditionalFormatting sqref="Q41:Q43">
    <cfRule type="dataBar" priority="1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{DE644747-D5E5-46C7-A93D-7862956E68B9}</x14:id>
        </ext>
      </extLst>
    </cfRule>
  </conditionalFormatting>
  <conditionalFormatting sqref="R41:R43 W41:W43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1:R43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1:W43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1:X43">
    <cfRule type="dataBar" priority="1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{6E813069-9656-4DEE-88AF-DFC37F426975}</x14:id>
        </ext>
      </extLst>
    </cfRule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{82D4D924-5FAF-4524-84BC-D32A1ADB20F4}</x14:id>
        </ext>
      </extLst>
    </cfRule>
    <cfRule type="dataBar" priority="1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{18A94F36-BD8B-40CA-A79F-1E7E4EAFBE30}</x14:id>
        </ext>
      </extLst>
    </cfRule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{10D72BF1-03A3-4E9B-8D22-959A35C5ECEF}</x14:id>
        </ext>
      </extLst>
    </cfRule>
    <cfRule type="dataBar" priority="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{42673C1F-1E1F-4AE5-BE1A-D15A5CA82DBE}</x14:id>
        </ext>
      </extLst>
    </cfRule>
    <cfRule type="dataBar" priority="1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{A7499115-4846-4F11-831F-11F41322B334}</x14:id>
        </ext>
      </extLst>
    </cfRule>
  </conditionalFormatting>
  <conditionalFormatting sqref="Z41:Z43"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1:AE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1:AI43">
    <cfRule type="dataBar" priority="1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{0FA0B6D7-A1F7-48E1-AF6E-0A2BF45C4E82}</x14:id>
        </ext>
      </extLst>
    </cfRule>
    <cfRule type="dataBar" priority="1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{D5189017-E54C-4C37-8232-37A056848521}</x14:id>
        </ext>
      </extLst>
    </cfRule>
    <cfRule type="dataBar" priority="1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{7198435A-C5E1-4BDD-B705-5365A881EAD8}</x14:id>
        </ext>
      </extLst>
    </cfRule>
  </conditionalFormatting>
  <conditionalFormatting sqref="L37:M43">
    <cfRule type="colorScale" priority="101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7:Q43">
    <cfRule type="dataBar" priority="102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{5FF1EFF8-CD32-4AF9-8289-D50F56514748}</x14:id>
        </ext>
      </extLst>
    </cfRule>
    <cfRule type="dataBar" priority="102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{ADC6ABC0-D2D1-4CBA-AF92-3A8EC968EF0A}</x14:id>
        </ext>
      </extLst>
    </cfRule>
  </conditionalFormatting>
  <conditionalFormatting sqref="S29:T43">
    <cfRule type="colorScale" priority="102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7:T43">
    <cfRule type="colorScale" priority="102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7:AG43">
    <cfRule type="colorScale" priority="103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7:H55">
    <cfRule type="colorScale" priority="103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37:J55">
    <cfRule type="colorScale" priority="103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37:L55">
    <cfRule type="colorScale" priority="103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58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359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3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9:M55">
    <cfRule type="colorScale" priority="103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7:N55">
    <cfRule type="dataBar" priority="103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{B62DC0F7-A34C-4816-A6FB-5413448A29B1}</x14:id>
        </ext>
      </extLst>
    </cfRule>
    <cfRule type="dataBar" priority="103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{4DB59B44-D943-4729-BE53-C49E45C9533F}</x14:id>
        </ext>
      </extLst>
    </cfRule>
  </conditionalFormatting>
  <conditionalFormatting sqref="S29:T55">
    <cfRule type="colorScale" priority="103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7:W55 R37:R55">
    <cfRule type="colorScale" priority="103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7:W55">
    <cfRule type="colorScale" priority="103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7:X55">
    <cfRule type="dataBar" priority="103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{5C9A5A63-EDE2-4D39-BDA9-333F7ED09321}</x14:id>
        </ext>
      </extLst>
    </cfRule>
    <cfRule type="dataBar" priority="103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{B568D7CE-73C0-4151-BFB8-C88745E7C6F4}</x14:id>
        </ext>
      </extLst>
    </cfRule>
    <cfRule type="dataBar" priority="104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{9207EFE4-A558-4349-9FF3-4BCF991F45CB}</x14:id>
        </ext>
      </extLst>
    </cfRule>
    <cfRule type="dataBar" priority="10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{027E9267-3D1A-475C-9AA1-C4BD75DA6D6C}</x14:id>
        </ext>
      </extLst>
    </cfRule>
  </conditionalFormatting>
  <conditionalFormatting sqref="Z37:Z55">
    <cfRule type="colorScale" priority="104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7:AE55">
    <cfRule type="colorScale" priority="104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29:AG55">
    <cfRule type="colorScale" priority="104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7:AI55">
    <cfRule type="dataBar" priority="104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{B6C3CE0D-5D3E-4CC4-AE17-ACAB47A571AB}</x14:id>
        </ext>
      </extLst>
    </cfRule>
    <cfRule type="dataBar" priority="1042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{A5D224FE-BF73-4EDB-8EB1-296AD59CEDF4}</x14:id>
        </ext>
      </extLst>
    </cfRule>
  </conditionalFormatting>
  <conditionalFormatting sqref="H44:H55">
    <cfRule type="colorScale" priority="104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4:J55">
    <cfRule type="colorScale" priority="104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4:L55">
    <cfRule type="colorScale" priority="1044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1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2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4:M55">
    <cfRule type="colorScale" priority="104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4:N55">
    <cfRule type="dataBar" priority="104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{1705CCF2-D747-4A2F-B364-F810541A8305}</x14:id>
        </ext>
      </extLst>
    </cfRule>
    <cfRule type="dataBar" priority="104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{06012388-F461-4953-86E7-E88DDB849F33}</x14:id>
        </ext>
      </extLst>
    </cfRule>
    <cfRule type="dataBar" priority="104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{8025E087-C90F-48F6-B95B-EA9D494BA86F}</x14:id>
        </ext>
      </extLst>
    </cfRule>
  </conditionalFormatting>
  <conditionalFormatting sqref="P44:P55">
    <cfRule type="dataBar" priority="104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{4FCC6E61-003D-48B4-874F-26216A55F789}</x14:id>
        </ext>
      </extLst>
    </cfRule>
  </conditionalFormatting>
  <conditionalFormatting sqref="P44:Q55">
    <cfRule type="dataBar" priority="104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{29367755-F05C-4A0E-B281-A88DE48DF941}</x14:id>
        </ext>
      </extLst>
    </cfRule>
    <cfRule type="dataBar" priority="104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{E88005BC-F369-4F72-8B3B-4BF08244D4C0}</x14:id>
        </ext>
      </extLst>
    </cfRule>
    <cfRule type="dataBar" priority="104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{1A3E9AC2-F863-421B-9A66-C778C94D4314}</x14:id>
        </ext>
      </extLst>
    </cfRule>
  </conditionalFormatting>
  <conditionalFormatting sqref="Q44:Q55">
    <cfRule type="dataBar" priority="104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{DC0412E5-2160-4007-BBD2-105208249F43}</x14:id>
        </ext>
      </extLst>
    </cfRule>
  </conditionalFormatting>
  <conditionalFormatting sqref="W44:W55 R44:R55">
    <cfRule type="colorScale" priority="104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4:R55">
    <cfRule type="colorScale" priority="104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4:T55">
    <cfRule type="colorScale" priority="104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4:W55">
    <cfRule type="colorScale" priority="104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4:X55">
    <cfRule type="dataBar" priority="104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{0D27DAA3-7B69-4B5A-9F68-BBEBCF670664}</x14:id>
        </ext>
      </extLst>
    </cfRule>
    <cfRule type="dataBar" priority="104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{E2DAC62B-A827-4BD6-A97D-11C4BB99CC49}</x14:id>
        </ext>
      </extLst>
    </cfRule>
    <cfRule type="dataBar" priority="104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{74B4A06A-D8C7-493B-8CE9-F8704FDDEBA3}</x14:id>
        </ext>
      </extLst>
    </cfRule>
    <cfRule type="dataBar" priority="104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{7EFFE8D4-08C7-4D79-92E3-00A26FC81A83}</x14:id>
        </ext>
      </extLst>
    </cfRule>
    <cfRule type="dataBar" priority="104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{ACAD1CD4-0ABF-40F1-B10A-646617730A87}</x14:id>
        </ext>
      </extLst>
    </cfRule>
    <cfRule type="dataBar" priority="104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{114DC552-8E09-4FB5-85C7-BA8031AFD18F}</x14:id>
        </ext>
      </extLst>
    </cfRule>
  </conditionalFormatting>
  <conditionalFormatting sqref="Z44:Z55">
    <cfRule type="colorScale" priority="104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4:AE55">
    <cfRule type="colorScale" priority="104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4:AG55">
    <cfRule type="colorScale" priority="104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4:AI55">
    <cfRule type="dataBar" priority="104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{40B4FD4E-F84F-4170-89F6-F7B0B92CABD9}</x14:id>
        </ext>
      </extLst>
    </cfRule>
    <cfRule type="dataBar" priority="1047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{5BD67DF9-F711-4A27-92F9-6E269FBE3722}</x14:id>
        </ext>
      </extLst>
    </cfRule>
    <cfRule type="dataBar" priority="104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{741B5FE8-8BDF-4A73-8B2E-A755A07E4A2D}</x14:id>
        </ext>
      </extLst>
    </cfRule>
  </conditionalFormatting>
  <conditionalFormatting sqref="L44:M55">
    <cfRule type="colorScale" priority="104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4:Q55">
    <cfRule type="dataBar" priority="104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{7078004E-6991-48B8-833C-46419D9FC6AE}</x14:id>
        </ext>
      </extLst>
    </cfRule>
    <cfRule type="dataBar" priority="104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{3655C2B3-0D68-401E-A640-156383B9C811}</x14:id>
        </ext>
      </extLst>
    </cfRule>
  </conditionalFormatting>
  <conditionalFormatting sqref="S44:T55">
    <cfRule type="colorScale" priority="104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1:H43 H39">
    <cfRule type="colorScale" priority="108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1:J43 J39">
    <cfRule type="colorScale" priority="108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1:L43 L39">
    <cfRule type="colorScale" priority="108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3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835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8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 L39:M39">
    <cfRule type="colorScale" priority="108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1:N43 N39">
    <cfRule type="dataBar" priority="108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{1B5DA491-4352-46B6-BF81-3849CC85019A}</x14:id>
        </ext>
      </extLst>
    </cfRule>
    <cfRule type="dataBar" priority="108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{AB5F9BB3-9F9D-4139-8613-19098073C51E}</x14:id>
        </ext>
      </extLst>
    </cfRule>
  </conditionalFormatting>
  <conditionalFormatting sqref="P41:P43 P39">
    <cfRule type="dataBar" priority="108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{BC2634FD-3C2F-4C7B-B4FE-C96EC7AB36A6}</x14:id>
        </ext>
      </extLst>
    </cfRule>
    <cfRule type="dataBar" priority="108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{B7FACCD9-A259-4370-ADBC-1D2EB6117F88}</x14:id>
        </ext>
      </extLst>
    </cfRule>
  </conditionalFormatting>
  <conditionalFormatting sqref="Q41:Q43 Q39 X41:X43 X39">
    <cfRule type="dataBar" priority="108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{A978B6BD-D26B-4414-B3E1-65BFBEA12442}</x14:id>
        </ext>
      </extLst>
    </cfRule>
  </conditionalFormatting>
  <conditionalFormatting sqref="Q41:Q43 Q39">
    <cfRule type="dataBar" priority="108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{487365E3-DC2B-48FC-95E5-04A444A9A5E7}</x14:id>
        </ext>
      </extLst>
    </cfRule>
  </conditionalFormatting>
  <conditionalFormatting sqref="R41:R43 R39">
    <cfRule type="colorScale" priority="108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 S39:T39">
    <cfRule type="colorScale" priority="108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1:W43 W39 R41:R43 R39">
    <cfRule type="colorScale" priority="108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1:X43 X39">
    <cfRule type="dataBar" priority="108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{D7AEDF48-6EF1-4385-9854-5A6C47BCA015}</x14:id>
        </ext>
      </extLst>
    </cfRule>
    <cfRule type="dataBar" priority="108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{0EEBF333-82DC-496E-B386-6210A5651C84}</x14:id>
        </ext>
      </extLst>
    </cfRule>
  </conditionalFormatting>
  <conditionalFormatting sqref="Z41:Z43 Z39">
    <cfRule type="colorScale" priority="108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1:AE43 AE39">
    <cfRule type="colorScale" priority="108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 AF39:AG39">
    <cfRule type="colorScale" priority="109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1:AI43 AI39">
    <cfRule type="dataBar" priority="1090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{AD431137-DFF9-4B1C-8CCC-D14B95E075BC}</x14:id>
        </ext>
      </extLst>
    </cfRule>
    <cfRule type="dataBar" priority="1090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{49271122-2D4C-4F58-8574-3645A4792BDC}</x14:id>
        </ext>
      </extLst>
    </cfRule>
  </conditionalFormatting>
  <conditionalFormatting sqref="Q41:Q43 Q39 X8:X55">
    <cfRule type="dataBar" priority="109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{C93AEBED-37C3-49E0-8FC3-065F63F77D89}</x14:id>
        </ext>
      </extLst>
    </cfRule>
  </conditionalFormatting>
  <conditionalFormatting sqref="H8:H55 J8:J55">
    <cfRule type="colorScale" priority="425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H55">
    <cfRule type="colorScale" priority="425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54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8:J55">
    <cfRule type="colorScale" priority="425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54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8:L55">
    <cfRule type="colorScale" priority="425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L55">
    <cfRule type="colorScale" priority="4255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425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8:N55">
    <cfRule type="dataBar" priority="425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{A8B1A803-6DCE-46A4-800A-47F7A4CF7DBC}</x14:id>
        </ext>
      </extLst>
    </cfRule>
  </conditionalFormatting>
  <conditionalFormatting sqref="P8:P55">
    <cfRule type="dataBar" priority="425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{180C32C0-259B-455C-8E72-653AE62F4AA1}</x14:id>
        </ext>
      </extLst>
    </cfRule>
  </conditionalFormatting>
  <conditionalFormatting sqref="Q8:Q55">
    <cfRule type="dataBar" priority="425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{DFA79591-D63C-4318-B005-1517271EF9D8}</x14:id>
        </ext>
      </extLst>
    </cfRule>
    <cfRule type="dataBar" priority="425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{AADD0B2B-0BE3-4F05-89EF-EE25745516A3}</x14:id>
        </ext>
      </extLst>
    </cfRule>
  </conditionalFormatting>
  <conditionalFormatting sqref="W8:W55 R8:R55">
    <cfRule type="colorScale" priority="425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8:X55">
    <cfRule type="dataBar" priority="425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{55039D42-E68A-4F02-9170-4B916B9FA042}</x14:id>
        </ext>
      </extLst>
    </cfRule>
  </conditionalFormatting>
  <conditionalFormatting sqref="Z8:Z55">
    <cfRule type="colorScale" priority="425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8:AB55 AD8:AD55">
    <cfRule type="colorScale" priority="425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8:AE55">
    <cfRule type="colorScale" priority="425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8:AI55">
    <cfRule type="dataBar" priority="4258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{EF6E9D7C-49A0-44A1-A6BD-FE63F13D30D6}</x14:id>
        </ext>
      </extLst>
    </cfRule>
  </conditionalFormatting>
  <conditionalFormatting sqref="S8:S55">
    <cfRule type="colorScale" priority="425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8:T55">
    <cfRule type="colorScale" priority="425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:T28">
    <cfRule type="colorScale" priority="425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M28">
    <cfRule type="colorScale" priority="425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8:AG28">
    <cfRule type="colorScale" priority="425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E61D188-3158-4A33-A4D0-D9850943BA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47039CF-B19D-4A92-BC99-5F7D603820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54EAA476-D5F5-4426-AEDC-F2E2CA404C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N38 N40</xm:sqref>
        </x14:conditionalFormatting>
        <x14:conditionalFormatting xmlns:xm="http://schemas.microsoft.com/office/excel/2006/main">
          <x14:cfRule type="dataBar" id="{AD60A0B8-02B9-4A2D-9C0D-03D0F4EBAF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P38 P40</xm:sqref>
        </x14:conditionalFormatting>
        <x14:conditionalFormatting xmlns:xm="http://schemas.microsoft.com/office/excel/2006/main">
          <x14:cfRule type="dataBar" id="{7DB52D7A-BA47-4FC0-B6A6-E329CFFB3D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DC018DCC-37D2-4844-927C-22BA1C4664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146E672-6FE7-4CB5-898D-16C2FE62CF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P38:Q38 P40:Q40</xm:sqref>
        </x14:conditionalFormatting>
        <x14:conditionalFormatting xmlns:xm="http://schemas.microsoft.com/office/excel/2006/main">
          <x14:cfRule type="dataBar" id="{B03DB0C0-767D-4948-B813-55CCEF0C93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Q38 Q40</xm:sqref>
        </x14:conditionalFormatting>
        <x14:conditionalFormatting xmlns:xm="http://schemas.microsoft.com/office/excel/2006/main">
          <x14:cfRule type="dataBar" id="{4932E268-F7F1-495E-A94F-AA4886C3D1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773FD979-6E5D-4791-8D7C-899B58C64B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18A4B4AE-14B0-4F26-AD42-59D57D91B6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23CF1EAF-ACCF-41C3-8492-C583D4D7A9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B46D8796-011B-44CE-94A6-5CA4757B93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E7B226B-5BCE-4C04-93FE-0C00CB96EF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X38 X40</xm:sqref>
        </x14:conditionalFormatting>
        <x14:conditionalFormatting xmlns:xm="http://schemas.microsoft.com/office/excel/2006/main">
          <x14:cfRule type="dataBar" id="{F56D0151-C8A9-466F-82BB-BBC2FA405E9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9033DE19-CC17-47AA-A04C-D85C7D420E5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4B07BB15-EE97-485B-9EDD-0920D74168F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AI40 AI38</xm:sqref>
        </x14:conditionalFormatting>
        <x14:conditionalFormatting xmlns:xm="http://schemas.microsoft.com/office/excel/2006/main">
          <x14:cfRule type="dataBar" id="{FB5B553E-C83F-4E8A-B639-65C191644A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4D6776EF-95E3-4864-8831-3BED135D64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9407F73-4A83-4D0A-B90A-9FE6EE5D49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N41:N43</xm:sqref>
        </x14:conditionalFormatting>
        <x14:conditionalFormatting xmlns:xm="http://schemas.microsoft.com/office/excel/2006/main">
          <x14:cfRule type="dataBar" id="{8BCC5B5D-FFA8-4D03-B17A-7717318B6C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P41:P43</xm:sqref>
        </x14:conditionalFormatting>
        <x14:conditionalFormatting xmlns:xm="http://schemas.microsoft.com/office/excel/2006/main">
          <x14:cfRule type="dataBar" id="{AE7E89EB-ECA1-4898-822B-6B542952F3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D7B5D374-9268-4940-AABA-C3FA1D8769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P41:Q43</xm:sqref>
        </x14:conditionalFormatting>
        <x14:conditionalFormatting xmlns:xm="http://schemas.microsoft.com/office/excel/2006/main">
          <x14:cfRule type="dataBar" id="{6E39F444-B7A3-47D4-A6C5-71260762D0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5364912-1379-4A47-8932-8287979929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9145228-798E-40AB-AC63-B5EA635EA7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P41:Q43</xm:sqref>
        </x14:conditionalFormatting>
        <x14:conditionalFormatting xmlns:xm="http://schemas.microsoft.com/office/excel/2006/main">
          <x14:cfRule type="dataBar" id="{DE644747-D5E5-46C7-A93D-7862956E68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</xm:sqref>
        </x14:conditionalFormatting>
        <x14:conditionalFormatting xmlns:xm="http://schemas.microsoft.com/office/excel/2006/main">
          <x14:cfRule type="dataBar" id="{6E813069-9656-4DEE-88AF-DFC37F4269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2D4D924-5FAF-4524-84BC-D32A1ADB20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18A94F36-BD8B-40CA-A79F-1E7E4EAFBE3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0D72BF1-03A3-4E9B-8D22-959A35C5EC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42673C1F-1E1F-4AE5-BE1A-D15A5CA82D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7499115-4846-4F11-831F-11F41322B3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X41:X43</xm:sqref>
        </x14:conditionalFormatting>
        <x14:conditionalFormatting xmlns:xm="http://schemas.microsoft.com/office/excel/2006/main">
          <x14:cfRule type="dataBar" id="{0FA0B6D7-A1F7-48E1-AF6E-0A2BF45C4E8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D5189017-E54C-4C37-8232-37A05684852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7198435A-C5E1-4BDD-B705-5365A881EA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AI41:AI43</xm:sqref>
        </x14:conditionalFormatting>
        <x14:conditionalFormatting xmlns:xm="http://schemas.microsoft.com/office/excel/2006/main">
          <x14:cfRule type="dataBar" id="{5FF1EFF8-CD32-4AF9-8289-D50F565147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DC6ABC0-D2D1-4CBA-AF92-3A8EC968EF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P37:Q43</xm:sqref>
        </x14:conditionalFormatting>
        <x14:conditionalFormatting xmlns:xm="http://schemas.microsoft.com/office/excel/2006/main">
          <x14:cfRule type="dataBar" id="{B62DC0F7-A34C-4816-A6FB-5413448A29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4DB59B44-D943-4729-BE53-C49E45C953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N37:N55</xm:sqref>
        </x14:conditionalFormatting>
        <x14:conditionalFormatting xmlns:xm="http://schemas.microsoft.com/office/excel/2006/main">
          <x14:cfRule type="dataBar" id="{5C9A5A63-EDE2-4D39-BDA9-333F7ED093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B568D7CE-73C0-4151-BFB8-C88745E7C6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9207EFE4-A558-4349-9FF3-4BCF991F45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027E9267-3D1A-475C-9AA1-C4BD75DA6D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X37:X55</xm:sqref>
        </x14:conditionalFormatting>
        <x14:conditionalFormatting xmlns:xm="http://schemas.microsoft.com/office/excel/2006/main">
          <x14:cfRule type="dataBar" id="{B6C3CE0D-5D3E-4CC4-AE17-ACAB47A571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A5D224FE-BF73-4EDB-8EB1-296AD59CEDF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AI37:AI55</xm:sqref>
        </x14:conditionalFormatting>
        <x14:conditionalFormatting xmlns:xm="http://schemas.microsoft.com/office/excel/2006/main">
          <x14:cfRule type="dataBar" id="{1705CCF2-D747-4A2F-B364-F810541A83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06012388-F461-4953-86E7-E88DDB849F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025E087-C90F-48F6-B95B-EA9D494BA8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N44:N55</xm:sqref>
        </x14:conditionalFormatting>
        <x14:conditionalFormatting xmlns:xm="http://schemas.microsoft.com/office/excel/2006/main">
          <x14:cfRule type="dataBar" id="{4FCC6E61-003D-48B4-874F-26216A55F7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P44:P55</xm:sqref>
        </x14:conditionalFormatting>
        <x14:conditionalFormatting xmlns:xm="http://schemas.microsoft.com/office/excel/2006/main">
          <x14:cfRule type="dataBar" id="{29367755-F05C-4A0E-B281-A88DE48DF9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88005BC-F369-4F72-8B3B-4BF08244D4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A3E9AC2-F863-421B-9A66-C778C94D43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P44:Q55</xm:sqref>
        </x14:conditionalFormatting>
        <x14:conditionalFormatting xmlns:xm="http://schemas.microsoft.com/office/excel/2006/main">
          <x14:cfRule type="dataBar" id="{DC0412E5-2160-4007-BBD2-105208249F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Q44:Q55</xm:sqref>
        </x14:conditionalFormatting>
        <x14:conditionalFormatting xmlns:xm="http://schemas.microsoft.com/office/excel/2006/main">
          <x14:cfRule type="dataBar" id="{0D27DAA3-7B69-4B5A-9F68-BBEBCF6706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2DAC62B-A827-4BD6-A97D-11C4BB99CC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74B4A06A-D8C7-493B-8CE9-F8704FDDEB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7EFFE8D4-08C7-4D79-92E3-00A26FC81A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ACAD1CD4-0ABF-40F1-B10A-646617730A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14DC552-8E09-4FB5-85C7-BA8031AFD1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X44:X55</xm:sqref>
        </x14:conditionalFormatting>
        <x14:conditionalFormatting xmlns:xm="http://schemas.microsoft.com/office/excel/2006/main">
          <x14:cfRule type="dataBar" id="{40B4FD4E-F84F-4170-89F6-F7B0B92CABD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5BD67DF9-F711-4A27-92F9-6E269FBE372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741B5FE8-8BDF-4A73-8B2E-A755A07E4A2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AI44:AI55</xm:sqref>
        </x14:conditionalFormatting>
        <x14:conditionalFormatting xmlns:xm="http://schemas.microsoft.com/office/excel/2006/main">
          <x14:cfRule type="dataBar" id="{7078004E-6991-48B8-833C-46419D9FC6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655C2B3-0D68-401E-A640-156383B9C8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P44:Q55</xm:sqref>
        </x14:conditionalFormatting>
        <x14:conditionalFormatting xmlns:xm="http://schemas.microsoft.com/office/excel/2006/main">
          <x14:cfRule type="dataBar" id="{1B5DA491-4352-46B6-BF81-3849CC8501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B5F9BB3-9F9D-4139-8613-19098073C5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N41:N43 N39</xm:sqref>
        </x14:conditionalFormatting>
        <x14:conditionalFormatting xmlns:xm="http://schemas.microsoft.com/office/excel/2006/main">
          <x14:cfRule type="dataBar" id="{BC2634FD-3C2F-4C7B-B4FE-C96EC7AB36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B7FACCD9-A259-4370-ADBC-1D2EB6117F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P41:P43 P39</xm:sqref>
        </x14:conditionalFormatting>
        <x14:conditionalFormatting xmlns:xm="http://schemas.microsoft.com/office/excel/2006/main">
          <x14:cfRule type="dataBar" id="{A978B6BD-D26B-4414-B3E1-65BFBEA124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 X41:X43 X39</xm:sqref>
        </x14:conditionalFormatting>
        <x14:conditionalFormatting xmlns:xm="http://schemas.microsoft.com/office/excel/2006/main">
          <x14:cfRule type="dataBar" id="{487365E3-DC2B-48FC-95E5-04A444A9A5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</xm:sqref>
        </x14:conditionalFormatting>
        <x14:conditionalFormatting xmlns:xm="http://schemas.microsoft.com/office/excel/2006/main">
          <x14:cfRule type="dataBar" id="{D7AEDF48-6EF1-4385-9854-5A6C47BCA0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0EEBF333-82DC-496E-B386-6210A5651C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X41:X43 X39</xm:sqref>
        </x14:conditionalFormatting>
        <x14:conditionalFormatting xmlns:xm="http://schemas.microsoft.com/office/excel/2006/main">
          <x14:cfRule type="dataBar" id="{AD431137-DFF9-4B1C-8CCC-D14B95E075B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49271122-2D4C-4F58-8574-3645A4792B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AI41:AI43 AI39</xm:sqref>
        </x14:conditionalFormatting>
        <x14:conditionalFormatting xmlns:xm="http://schemas.microsoft.com/office/excel/2006/main">
          <x14:cfRule type="dataBar" id="{C93AEBED-37C3-49E0-8FC3-065F63F77D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 X8:X55</xm:sqref>
        </x14:conditionalFormatting>
        <x14:conditionalFormatting xmlns:xm="http://schemas.microsoft.com/office/excel/2006/main">
          <x14:cfRule type="dataBar" id="{A8B1A803-6DCE-46A4-800A-47F7A4CF7D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N8:N55</xm:sqref>
        </x14:conditionalFormatting>
        <x14:conditionalFormatting xmlns:xm="http://schemas.microsoft.com/office/excel/2006/main">
          <x14:cfRule type="dataBar" id="{180C32C0-259B-455C-8E72-653AE62F4A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P8:P55</xm:sqref>
        </x14:conditionalFormatting>
        <x14:conditionalFormatting xmlns:xm="http://schemas.microsoft.com/office/excel/2006/main">
          <x14:cfRule type="dataBar" id="{DFA79591-D63C-4318-B005-1517271EF9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ADD0B2B-0BE3-4F05-89EF-EE25745516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Q8:Q55</xm:sqref>
        </x14:conditionalFormatting>
        <x14:conditionalFormatting xmlns:xm="http://schemas.microsoft.com/office/excel/2006/main">
          <x14:cfRule type="dataBar" id="{55039D42-E68A-4F02-9170-4B916B9FA0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X8:X55</xm:sqref>
        </x14:conditionalFormatting>
        <x14:conditionalFormatting xmlns:xm="http://schemas.microsoft.com/office/excel/2006/main">
          <x14:cfRule type="dataBar" id="{EF6E9D7C-49A0-44A1-A6BD-FE63F13D30D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AI8:AI55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F941B-2232-4251-8EFE-8EFFA8ADCC6C}">
  <sheetPr codeName="Sheet19"/>
  <dimension ref="C2:AP59"/>
  <sheetViews>
    <sheetView topLeftCell="A10" zoomScale="85" zoomScaleNormal="85" workbookViewId="0">
      <selection activeCell="N43" sqref="N43"/>
    </sheetView>
  </sheetViews>
  <sheetFormatPr defaultRowHeight="15"/>
  <cols>
    <col min="3" max="3" width="11.140625" bestFit="1" customWidth="1"/>
    <col min="4" max="5" width="9.140625" style="270"/>
    <col min="12" max="12" width="10.28515625" bestFit="1" customWidth="1"/>
    <col min="20" max="20" width="11" bestFit="1" customWidth="1"/>
    <col min="21" max="21" width="10.5703125" hidden="1" customWidth="1"/>
    <col min="22" max="24" width="9.140625" customWidth="1"/>
    <col min="25" max="25" width="2" customWidth="1"/>
    <col min="26" max="28" width="9.140625" customWidth="1"/>
    <col min="29" max="29" width="4.42578125" style="44" customWidth="1"/>
    <col min="30" max="30" width="9.140625" customWidth="1"/>
    <col min="31" max="31" width="10" bestFit="1" customWidth="1"/>
    <col min="32" max="32" width="5.28515625" customWidth="1"/>
    <col min="33" max="33" width="9.140625" customWidth="1"/>
  </cols>
  <sheetData>
    <row r="2" spans="3:37">
      <c r="X2" t="s">
        <v>429</v>
      </c>
      <c r="Z2" s="127">
        <v>0.02</v>
      </c>
      <c r="AA2" s="127">
        <v>1.2500000000000001E-2</v>
      </c>
      <c r="AB2" s="127">
        <f>Z2+AA2</f>
        <v>3.2500000000000001E-2</v>
      </c>
      <c r="AG2" t="s">
        <v>429</v>
      </c>
      <c r="AH2" t="s">
        <v>1891</v>
      </c>
      <c r="AI2" t="s">
        <v>1892</v>
      </c>
    </row>
    <row r="3" spans="3:37">
      <c r="T3" s="39"/>
      <c r="U3" s="39"/>
      <c r="V3" t="s">
        <v>1888</v>
      </c>
      <c r="W3" t="s">
        <v>1889</v>
      </c>
      <c r="X3" t="s">
        <v>169</v>
      </c>
      <c r="Z3" t="s">
        <v>1888</v>
      </c>
      <c r="AA3" t="s">
        <v>1889</v>
      </c>
      <c r="AB3" t="s">
        <v>169</v>
      </c>
      <c r="AD3" t="s">
        <v>1890</v>
      </c>
      <c r="AE3" t="s">
        <v>1905</v>
      </c>
    </row>
    <row r="4" spans="3:37">
      <c r="D4" t="s">
        <v>1694</v>
      </c>
      <c r="F4" s="172" t="s">
        <v>150</v>
      </c>
      <c r="G4" s="172" t="s">
        <v>147</v>
      </c>
      <c r="K4" t="s">
        <v>146</v>
      </c>
      <c r="S4" s="35" t="s">
        <v>1770</v>
      </c>
      <c r="T4" t="s">
        <v>90</v>
      </c>
      <c r="U4" t="s">
        <v>1893</v>
      </c>
      <c r="V4" s="354">
        <v>0.27500000000000002</v>
      </c>
      <c r="W4" s="354">
        <v>0.5</v>
      </c>
      <c r="X4" s="354">
        <f t="shared" ref="X4:X13" si="0">AB4/$AB$14</f>
        <v>0.36153846153846153</v>
      </c>
      <c r="Z4" s="70">
        <f>V4*$Z$2</f>
        <v>5.5000000000000005E-3</v>
      </c>
      <c r="AA4" s="70">
        <f>W4*$AA$2</f>
        <v>6.2500000000000003E-3</v>
      </c>
      <c r="AB4" s="70">
        <f>Z4+AA4</f>
        <v>1.175E-2</v>
      </c>
      <c r="AC4" s="44" t="s">
        <v>1770</v>
      </c>
      <c r="AD4" s="70">
        <v>1.34E-2</v>
      </c>
      <c r="AE4" s="270">
        <f>(AB4-AD4)*10000</f>
        <v>-16.500000000000004</v>
      </c>
      <c r="AG4" s="353">
        <f>X4</f>
        <v>0.36153846153846153</v>
      </c>
      <c r="AH4" s="352">
        <v>0.2</v>
      </c>
      <c r="AI4" s="352">
        <v>0.15</v>
      </c>
      <c r="AK4" s="20"/>
    </row>
    <row r="5" spans="3:37">
      <c r="C5" t="s">
        <v>131</v>
      </c>
      <c r="D5" s="270">
        <v>2.4</v>
      </c>
      <c r="F5" s="152" cm="1">
        <f t="array" ref="F5">_xll.BDP($C5&amp;" Equity","volatility_10d")/100</f>
        <v>0.89108963395607532</v>
      </c>
      <c r="G5" s="152" cm="1">
        <f t="array" ref="G5">_xll.BDP($C5&amp;" Equity","volatility_30d")/100</f>
        <v>0.58347816070457836</v>
      </c>
      <c r="J5" t="s">
        <v>1740</v>
      </c>
      <c r="K5" s="270">
        <v>70</v>
      </c>
      <c r="L5" cm="1">
        <f t="array" ref="L5">_xll.BDP(J5&amp;" Equity","LAST PRICE")</f>
        <v>87.07</v>
      </c>
      <c r="M5" s="273">
        <f>L5/K5-1</f>
        <v>0.24385714285714277</v>
      </c>
      <c r="S5" s="35" t="s">
        <v>1770</v>
      </c>
      <c r="T5" t="s">
        <v>1887</v>
      </c>
      <c r="U5" t="s">
        <v>1893</v>
      </c>
      <c r="V5" s="354"/>
      <c r="W5" s="354">
        <v>0.1</v>
      </c>
      <c r="X5" s="354">
        <f t="shared" si="0"/>
        <v>3.8461538461538471E-2</v>
      </c>
      <c r="Z5" s="70">
        <f t="shared" ref="Z5:Z13" si="1">V5*$Z$2</f>
        <v>0</v>
      </c>
      <c r="AA5" s="70">
        <f t="shared" ref="AA5:AA13" si="2">W5*$AA$2</f>
        <v>1.2500000000000002E-3</v>
      </c>
      <c r="AB5" s="70">
        <f t="shared" ref="AB5:AB13" si="3">Z5+AA5</f>
        <v>1.2500000000000002E-3</v>
      </c>
      <c r="AC5" s="44" t="s">
        <v>1770</v>
      </c>
      <c r="AD5" s="70">
        <v>1.1999999999999999E-3</v>
      </c>
      <c r="AE5" s="270">
        <f t="shared" ref="AE5:AE13" si="4">(AB5-AD5)*10000</f>
        <v>0.50000000000000344</v>
      </c>
      <c r="AG5" s="353">
        <f t="shared" ref="AG5:AG13" si="5">X5</f>
        <v>3.8461538461538471E-2</v>
      </c>
      <c r="AH5" s="352"/>
      <c r="AI5" s="352"/>
      <c r="AK5" s="20"/>
    </row>
    <row r="6" spans="3:37">
      <c r="C6" t="s">
        <v>131</v>
      </c>
      <c r="D6" s="270">
        <v>2.4</v>
      </c>
      <c r="F6" s="152" cm="1">
        <f t="array" ref="F6">_xll.BDP($C6&amp;" Equity","volatility_10d")/100</f>
        <v>0.89108963395607532</v>
      </c>
      <c r="G6" s="152" cm="1">
        <f t="array" ref="G6">_xll.BDP($C6&amp;" Equity","volatility_30d")/100</f>
        <v>0.58347816070457836</v>
      </c>
      <c r="J6" t="s">
        <v>1740</v>
      </c>
      <c r="K6" s="270">
        <v>70</v>
      </c>
      <c r="L6" cm="1">
        <f t="array" ref="L6">_xll.BDP(J6&amp;" Equity","LAST PRICE")</f>
        <v>87.07</v>
      </c>
      <c r="M6" s="273">
        <f>L6/K6-1</f>
        <v>0.24385714285714277</v>
      </c>
      <c r="S6" s="35" t="s">
        <v>1770</v>
      </c>
      <c r="T6" t="s">
        <v>1903</v>
      </c>
      <c r="U6" t="s">
        <v>1900</v>
      </c>
      <c r="V6" s="354"/>
      <c r="W6" s="354"/>
      <c r="X6" s="354"/>
      <c r="Z6" s="70">
        <f>V6*$Z$2</f>
        <v>0</v>
      </c>
      <c r="AA6" s="70">
        <f>W6*$AA$2</f>
        <v>0</v>
      </c>
      <c r="AB6" s="70">
        <f>Z6+AA6</f>
        <v>0</v>
      </c>
      <c r="AD6" s="70"/>
      <c r="AE6" s="270"/>
      <c r="AG6" s="353">
        <f>X6</f>
        <v>0</v>
      </c>
      <c r="AH6" s="352"/>
      <c r="AI6" s="352"/>
      <c r="AK6" s="20"/>
    </row>
    <row r="7" spans="3:37">
      <c r="C7" t="s">
        <v>1693</v>
      </c>
      <c r="D7" s="270">
        <v>1.2</v>
      </c>
      <c r="F7" s="152" cm="1">
        <f t="array" ref="F7">_xll.BDP($C7&amp;" Equity","volatility_10d")/100</f>
        <v>0.80220551462142031</v>
      </c>
      <c r="G7" s="152" cm="1">
        <f t="array" ref="G7">_xll.BDP($C7&amp;" Equity","volatility_30d")/100</f>
        <v>0.48417562010141607</v>
      </c>
      <c r="J7" t="s">
        <v>1743</v>
      </c>
      <c r="K7" s="270">
        <v>28.5</v>
      </c>
      <c r="L7" cm="1">
        <f t="array" ref="L7">_xll.BDP(J7&amp;" Equity","LAST PRICE")</f>
        <v>19.350000000000001</v>
      </c>
      <c r="M7" s="273">
        <f t="shared" ref="M7:M13" si="6">L7/K7-1</f>
        <v>-0.32105263157894737</v>
      </c>
      <c r="S7" s="35" t="s">
        <v>1770</v>
      </c>
      <c r="T7" t="s">
        <v>81</v>
      </c>
      <c r="U7" t="s">
        <v>1879</v>
      </c>
      <c r="V7" s="354">
        <v>0.2</v>
      </c>
      <c r="W7" s="354"/>
      <c r="X7" s="354">
        <f t="shared" si="0"/>
        <v>0.12307692307692307</v>
      </c>
      <c r="Z7" s="70">
        <f t="shared" si="1"/>
        <v>4.0000000000000001E-3</v>
      </c>
      <c r="AA7" s="70">
        <f t="shared" si="2"/>
        <v>0</v>
      </c>
      <c r="AB7" s="70">
        <f t="shared" si="3"/>
        <v>4.0000000000000001E-3</v>
      </c>
      <c r="AD7" s="70">
        <v>3.0999999999999999E-3</v>
      </c>
      <c r="AE7" s="270">
        <f t="shared" si="4"/>
        <v>9.0000000000000018</v>
      </c>
      <c r="AG7" s="353">
        <f t="shared" si="5"/>
        <v>0.12307692307692307</v>
      </c>
      <c r="AH7" s="352">
        <v>0.3</v>
      </c>
      <c r="AI7" s="352">
        <v>0.25</v>
      </c>
      <c r="AK7" s="20"/>
    </row>
    <row r="8" spans="3:37">
      <c r="C8" t="s">
        <v>132</v>
      </c>
      <c r="D8" s="270">
        <v>2</v>
      </c>
      <c r="F8" s="152" cm="1">
        <f t="array" ref="F8">_xll.BDP($C8&amp;" Equity","volatility_10d")/100</f>
        <v>0.81693475023854911</v>
      </c>
      <c r="G8" s="152" cm="1">
        <f t="array" ref="G8">_xll.BDP($C8&amp;" Equity","volatility_30d")/100</f>
        <v>0.55124871380112406</v>
      </c>
      <c r="J8" t="s">
        <v>400</v>
      </c>
      <c r="K8" s="270">
        <v>318.75</v>
      </c>
      <c r="L8" cm="1">
        <f t="array" ref="L8">_xll.BDP(J8&amp;" Equity","LAST PRICE")</f>
        <v>241.21</v>
      </c>
      <c r="M8" s="273">
        <f t="shared" si="6"/>
        <v>-0.24326274509803925</v>
      </c>
      <c r="S8" s="35" t="s">
        <v>1770</v>
      </c>
      <c r="T8" t="s">
        <v>83</v>
      </c>
      <c r="U8" t="s">
        <v>1879</v>
      </c>
      <c r="V8" s="354">
        <v>0.05</v>
      </c>
      <c r="W8" s="354">
        <v>0.05</v>
      </c>
      <c r="X8" s="354">
        <f t="shared" si="0"/>
        <v>0.05</v>
      </c>
      <c r="Z8" s="70">
        <f t="shared" si="1"/>
        <v>1E-3</v>
      </c>
      <c r="AA8" s="70">
        <f t="shared" si="2"/>
        <v>6.2500000000000012E-4</v>
      </c>
      <c r="AB8" s="70">
        <f t="shared" si="3"/>
        <v>1.6250000000000001E-3</v>
      </c>
      <c r="AD8" s="70">
        <v>1.2999999999999999E-3</v>
      </c>
      <c r="AE8" s="270">
        <f t="shared" si="4"/>
        <v>3.2500000000000022</v>
      </c>
      <c r="AG8" s="353">
        <f t="shared" si="5"/>
        <v>0.05</v>
      </c>
      <c r="AH8" s="352">
        <v>0.05</v>
      </c>
      <c r="AI8" s="352">
        <v>0.05</v>
      </c>
      <c r="AK8" s="20"/>
    </row>
    <row r="9" spans="3:37">
      <c r="C9" t="s">
        <v>89</v>
      </c>
      <c r="D9" s="270">
        <v>1.2</v>
      </c>
      <c r="E9" s="270">
        <v>1.35</v>
      </c>
      <c r="F9" s="152" cm="1">
        <f t="array" ref="F9">_xll.BDP($C9&amp;" Equity","volatility_10d")/100</f>
        <v>0.38980678839418553</v>
      </c>
      <c r="G9" s="152" cm="1">
        <f t="array" ref="G9">_xll.BDP($C9&amp;" Equity","volatility_30d")/100</f>
        <v>0.2737492200550084</v>
      </c>
      <c r="J9" t="s">
        <v>134</v>
      </c>
      <c r="K9" s="270">
        <v>265.95999999999998</v>
      </c>
      <c r="L9" cm="1">
        <f t="array" ref="L9">_xll.BDP(J9&amp;" Equity","LAST PRICE")</f>
        <v>196.38</v>
      </c>
      <c r="M9" s="273">
        <f t="shared" si="6"/>
        <v>-0.26161828846443069</v>
      </c>
      <c r="S9" s="35" t="s">
        <v>1770</v>
      </c>
      <c r="T9" t="s">
        <v>399</v>
      </c>
      <c r="U9" t="s">
        <v>1879</v>
      </c>
      <c r="V9" s="354">
        <v>0.1</v>
      </c>
      <c r="W9" s="354">
        <v>0.05</v>
      </c>
      <c r="X9" s="354">
        <f t="shared" si="0"/>
        <v>8.0769230769230774E-2</v>
      </c>
      <c r="Z9" s="70">
        <f t="shared" si="1"/>
        <v>2E-3</v>
      </c>
      <c r="AA9" s="70">
        <f t="shared" si="2"/>
        <v>6.2500000000000012E-4</v>
      </c>
      <c r="AB9" s="70">
        <f t="shared" si="3"/>
        <v>2.6250000000000002E-3</v>
      </c>
      <c r="AD9" s="70">
        <v>2.5999999999999999E-3</v>
      </c>
      <c r="AE9" s="270">
        <f t="shared" si="4"/>
        <v>0.25000000000000283</v>
      </c>
      <c r="AG9" s="353">
        <f t="shared" si="5"/>
        <v>8.0769230769230774E-2</v>
      </c>
      <c r="AH9" s="352">
        <v>0.15</v>
      </c>
      <c r="AI9" s="352">
        <v>0.15</v>
      </c>
      <c r="AJ9" t="s">
        <v>1770</v>
      </c>
      <c r="AK9" s="20"/>
    </row>
    <row r="10" spans="3:37">
      <c r="C10" t="s">
        <v>350</v>
      </c>
      <c r="D10" s="270">
        <v>1.2</v>
      </c>
      <c r="E10" s="270">
        <v>1.35</v>
      </c>
      <c r="F10" s="152" cm="1">
        <f t="array" ref="F10">_xll.BDP($C10&amp;" Equity","volatility_10d")/100</f>
        <v>0.44736400000000004</v>
      </c>
      <c r="G10" s="152" cm="1">
        <f t="array" ref="G10">_xll.BDP($C10&amp;" Equity","volatility_30d")/100</f>
        <v>0.31436629999999999</v>
      </c>
      <c r="J10" t="s">
        <v>1753</v>
      </c>
      <c r="K10" s="270">
        <v>251.52</v>
      </c>
      <c r="L10" cm="1">
        <f t="array" ref="L10">_xll.BDP(J10&amp;" Equity","LAST PRICE")</f>
        <v>161.16999999999999</v>
      </c>
      <c r="M10" s="273">
        <f t="shared" si="6"/>
        <v>-0.35921596692111968</v>
      </c>
      <c r="S10" s="35" t="s">
        <v>1770</v>
      </c>
      <c r="T10" t="s">
        <v>1904</v>
      </c>
      <c r="U10" t="s">
        <v>1894</v>
      </c>
      <c r="V10" s="354"/>
      <c r="W10" s="354">
        <v>7.4999999999999997E-2</v>
      </c>
      <c r="X10" s="354">
        <f t="shared" si="0"/>
        <v>2.8846153846153844E-2</v>
      </c>
      <c r="Z10" s="70">
        <f t="shared" si="1"/>
        <v>0</v>
      </c>
      <c r="AA10" s="70">
        <f t="shared" si="2"/>
        <v>9.3749999999999997E-4</v>
      </c>
      <c r="AB10" s="70">
        <f t="shared" si="3"/>
        <v>9.3749999999999997E-4</v>
      </c>
      <c r="AD10" s="70">
        <v>1E-3</v>
      </c>
      <c r="AE10" s="270">
        <f t="shared" si="4"/>
        <v>-0.62500000000000056</v>
      </c>
      <c r="AG10" s="353">
        <f t="shared" si="5"/>
        <v>2.8846153846153844E-2</v>
      </c>
      <c r="AH10" s="352"/>
      <c r="AI10" s="352"/>
      <c r="AK10" s="20"/>
    </row>
    <row r="11" spans="3:37">
      <c r="C11" t="s">
        <v>401</v>
      </c>
      <c r="D11" s="270">
        <v>1.5</v>
      </c>
      <c r="E11" s="270">
        <v>0.94</v>
      </c>
      <c r="F11" s="152" cm="1">
        <f t="array" ref="F11">_xll.BDP($C11&amp;" Equity","volatility_10d")/100</f>
        <v>0.15137296748648821</v>
      </c>
      <c r="G11" s="152" cm="1">
        <f t="array" ref="G11">_xll.BDP($C11&amp;" Equity","volatility_30d")/100</f>
        <v>0.17319098188840237</v>
      </c>
      <c r="J11" t="s">
        <v>353</v>
      </c>
      <c r="K11" s="270">
        <v>117.4</v>
      </c>
      <c r="L11" cm="1">
        <f t="array" ref="L11">_xll.BDP(J11&amp;" Equity","LAST PRICE")</f>
        <v>165.41</v>
      </c>
      <c r="M11" s="273">
        <f t="shared" si="6"/>
        <v>0.40894378194207825</v>
      </c>
      <c r="S11" s="35" t="s">
        <v>1770</v>
      </c>
      <c r="T11" t="s">
        <v>94</v>
      </c>
      <c r="U11" t="s">
        <v>1880</v>
      </c>
      <c r="V11" s="354">
        <v>0.05</v>
      </c>
      <c r="W11" s="354">
        <v>0.1</v>
      </c>
      <c r="X11" s="354">
        <f t="shared" si="0"/>
        <v>6.9230769230769235E-2</v>
      </c>
      <c r="Z11" s="70">
        <f t="shared" si="1"/>
        <v>1E-3</v>
      </c>
      <c r="AA11" s="70">
        <f t="shared" si="2"/>
        <v>1.2500000000000002E-3</v>
      </c>
      <c r="AB11" s="70">
        <f t="shared" si="3"/>
        <v>2.2500000000000003E-3</v>
      </c>
      <c r="AD11" s="70">
        <v>2.2000000000000001E-3</v>
      </c>
      <c r="AE11" s="270">
        <f t="shared" si="4"/>
        <v>0.50000000000000133</v>
      </c>
      <c r="AG11" s="353">
        <f t="shared" si="5"/>
        <v>6.9230769230769235E-2</v>
      </c>
      <c r="AH11" s="352">
        <v>0.05</v>
      </c>
      <c r="AI11" s="352">
        <v>0.05</v>
      </c>
      <c r="AK11" s="20"/>
    </row>
    <row r="12" spans="3:37">
      <c r="C12" t="s">
        <v>1685</v>
      </c>
      <c r="D12" s="270">
        <v>1.5</v>
      </c>
      <c r="E12" s="270">
        <v>1.07</v>
      </c>
      <c r="F12" s="152" cm="1">
        <f t="array" ref="F12">_xll.BDP($C12&amp;" Equity","volatility_10d")/100</f>
        <v>0.21134516185843125</v>
      </c>
      <c r="G12" s="152" cm="1">
        <f t="array" ref="G12">_xll.BDP($C12&amp;" Equity","volatility_30d")/100</f>
        <v>0.27053470639279903</v>
      </c>
      <c r="J12" t="s">
        <v>1742</v>
      </c>
      <c r="K12" s="270">
        <v>5420</v>
      </c>
      <c r="L12" cm="1">
        <f t="array" ref="L12">_xll.BDP(J12&amp;" Index","LAST PRICE")</f>
        <v>5392</v>
      </c>
      <c r="M12" s="273">
        <f t="shared" si="6"/>
        <v>-5.1660516605166462E-3</v>
      </c>
      <c r="S12" s="35" t="s">
        <v>1770</v>
      </c>
      <c r="T12" t="s">
        <v>137</v>
      </c>
      <c r="U12" t="s">
        <v>1894</v>
      </c>
      <c r="V12" s="354">
        <v>0.05</v>
      </c>
      <c r="W12" s="354">
        <v>0.125</v>
      </c>
      <c r="X12" s="354">
        <f t="shared" si="0"/>
        <v>7.8846153846153844E-2</v>
      </c>
      <c r="Z12" s="70">
        <f t="shared" si="1"/>
        <v>1E-3</v>
      </c>
      <c r="AA12" s="70">
        <f t="shared" si="2"/>
        <v>1.5625000000000001E-3</v>
      </c>
      <c r="AB12" s="70">
        <f t="shared" si="3"/>
        <v>2.5625000000000001E-3</v>
      </c>
      <c r="AD12" s="70">
        <v>2.5000000000000001E-3</v>
      </c>
      <c r="AE12" s="270">
        <f t="shared" si="4"/>
        <v>0.62500000000000056</v>
      </c>
      <c r="AG12" s="353">
        <f t="shared" si="5"/>
        <v>7.8846153846153844E-2</v>
      </c>
      <c r="AH12" s="352">
        <v>0.1</v>
      </c>
      <c r="AI12" s="352">
        <v>0.1</v>
      </c>
      <c r="AK12" s="20"/>
    </row>
    <row r="13" spans="3:37">
      <c r="C13" t="s">
        <v>1689</v>
      </c>
      <c r="D13" s="270">
        <v>1.5</v>
      </c>
      <c r="E13" s="270">
        <v>0.97</v>
      </c>
      <c r="F13" s="152" cm="1">
        <f t="array" ref="F13">_xll.BDP($C13&amp;" Equity","volatility_10d")/100</f>
        <v>0.19929028192362894</v>
      </c>
      <c r="G13" s="152" cm="1">
        <f t="array" ref="G13">_xll.BDP($C13&amp;" Equity","volatility_30d")/100</f>
        <v>0.29702297408101352</v>
      </c>
      <c r="J13" t="s">
        <v>1744</v>
      </c>
      <c r="K13" s="270">
        <v>386.5</v>
      </c>
      <c r="L13" t="str" cm="1">
        <f t="array" ref="L13">_xll.BDP(J13&amp;" Index","LAST PRICE")</f>
        <v>#N/A Real Time</v>
      </c>
      <c r="M13" s="273" t="e">
        <f t="shared" si="6"/>
        <v>#VALUE!</v>
      </c>
      <c r="S13" s="35" t="s">
        <v>1770</v>
      </c>
      <c r="T13" t="s">
        <v>96</v>
      </c>
      <c r="U13" t="s">
        <v>1880</v>
      </c>
      <c r="V13" s="354">
        <v>0.27500000000000002</v>
      </c>
      <c r="W13" s="354"/>
      <c r="X13" s="354">
        <f t="shared" si="0"/>
        <v>0.16923076923076924</v>
      </c>
      <c r="Z13" s="70">
        <f t="shared" si="1"/>
        <v>5.5000000000000005E-3</v>
      </c>
      <c r="AA13" s="70">
        <f t="shared" si="2"/>
        <v>0</v>
      </c>
      <c r="AB13" s="70">
        <f t="shared" si="3"/>
        <v>5.5000000000000005E-3</v>
      </c>
      <c r="AC13" s="44" t="s">
        <v>1770</v>
      </c>
      <c r="AD13" s="70">
        <v>5.3E-3</v>
      </c>
      <c r="AE13" s="270">
        <f t="shared" si="4"/>
        <v>2.0000000000000053</v>
      </c>
      <c r="AG13" s="353">
        <f t="shared" si="5"/>
        <v>0.16923076923076924</v>
      </c>
      <c r="AH13" s="352">
        <v>0.15</v>
      </c>
      <c r="AI13" s="352">
        <v>0.25</v>
      </c>
      <c r="AK13" s="20"/>
    </row>
    <row r="14" spans="3:37">
      <c r="C14" t="s">
        <v>88</v>
      </c>
      <c r="D14" s="270">
        <v>1</v>
      </c>
      <c r="E14" s="270">
        <v>0.9</v>
      </c>
      <c r="F14" s="152" cm="1">
        <f t="array" ref="F14">_xll.BDP($C14&amp;" Equity","volatility_10d")/100</f>
        <v>0.14468616479873836</v>
      </c>
      <c r="G14" s="152" cm="1">
        <f t="array" ref="G14">_xll.BDP($C14&amp;" Equity","volatility_30d")/100</f>
        <v>0.15466224736244694</v>
      </c>
      <c r="S14" s="35"/>
      <c r="V14" s="20">
        <f>SUM(V4:V13)</f>
        <v>1</v>
      </c>
      <c r="W14" s="20">
        <f>SUM(W4:W13)</f>
        <v>1</v>
      </c>
      <c r="X14" s="65">
        <f>SUM(X4:X13)</f>
        <v>1.0000000000000002</v>
      </c>
      <c r="Z14" s="20">
        <f>SUM(Z4:Z13)</f>
        <v>2.0000000000000004E-2</v>
      </c>
      <c r="AA14" s="20">
        <f>SUM(AA4:AA13)</f>
        <v>1.2500000000000002E-2</v>
      </c>
      <c r="AB14" s="20">
        <f>SUM(AB4:AB13)</f>
        <v>3.2500000000000001E-2</v>
      </c>
      <c r="AD14" s="5">
        <f>SUM(AD4:AD13)</f>
        <v>3.2600000000000004E-2</v>
      </c>
      <c r="AE14" s="20"/>
      <c r="AG14" s="128">
        <f>SUM(AG4:AG13)</f>
        <v>1.0000000000000002</v>
      </c>
      <c r="AH14" s="128">
        <f>SUM(AH4:AH13)</f>
        <v>1</v>
      </c>
      <c r="AI14" s="128">
        <f>SUM(AI4:AI13)</f>
        <v>1</v>
      </c>
      <c r="AK14" s="65"/>
    </row>
    <row r="15" spans="3:37">
      <c r="C15" t="s">
        <v>6</v>
      </c>
      <c r="D15" s="270">
        <v>1.2</v>
      </c>
      <c r="E15" s="270">
        <v>1.21</v>
      </c>
      <c r="F15" s="152" cm="1">
        <f t="array" ref="F15">_xll.BDP($C15&amp;" Equity","volatility_10d")/100</f>
        <v>0.18480269471203847</v>
      </c>
      <c r="G15" s="152" cm="1">
        <f t="array" ref="G15">_xll.BDP($C15&amp;" Equity","volatility_30d")/100</f>
        <v>0.18878990727627279</v>
      </c>
      <c r="S15" s="35"/>
    </row>
    <row r="16" spans="3:37">
      <c r="C16" t="s">
        <v>71</v>
      </c>
      <c r="D16" s="270">
        <v>1.3</v>
      </c>
      <c r="E16" s="270">
        <v>1.1599999999999999</v>
      </c>
      <c r="F16" s="152" cm="1">
        <f t="array" ref="F16">_xll.BDP($C16&amp;" Equity","volatility_10d")/100</f>
        <v>0.26558208929356358</v>
      </c>
      <c r="G16" s="152" cm="1">
        <f t="array" ref="G16">_xll.BDP($C16&amp;" Equity","volatility_30d")/100</f>
        <v>0.24338824305737675</v>
      </c>
    </row>
    <row r="17" spans="3:42">
      <c r="C17" t="s">
        <v>95</v>
      </c>
      <c r="D17" s="270">
        <v>1.9</v>
      </c>
      <c r="E17" s="270">
        <v>1.9</v>
      </c>
      <c r="F17" s="152" cm="1">
        <f t="array" ref="F17">_xll.BDP($C17&amp;" Equity","volatility_10d")/100</f>
        <v>0.35925080299333328</v>
      </c>
      <c r="G17" s="152" cm="1">
        <f t="array" ref="G17">_xll.BDP($C17&amp;" Equity","volatility_30d")/100</f>
        <v>0.29796790689244607</v>
      </c>
      <c r="AP17" t="s">
        <v>1770</v>
      </c>
    </row>
    <row r="18" spans="3:42">
      <c r="C18" t="s">
        <v>136</v>
      </c>
      <c r="D18" s="270">
        <v>1.9</v>
      </c>
      <c r="E18" s="270">
        <v>1.9</v>
      </c>
      <c r="F18" s="152" cm="1">
        <f t="array" ref="F18">_xll.BDP($C18&amp;" Equity","volatility_10d")/100</f>
        <v>0.31501552222813006</v>
      </c>
      <c r="G18" s="152" cm="1">
        <f t="array" ref="G18">_xll.BDP($C18&amp;" Equity","volatility_30d")/100</f>
        <v>0.27585589250442483</v>
      </c>
      <c r="AP18" t="s">
        <v>1770</v>
      </c>
    </row>
    <row r="19" spans="3:42">
      <c r="C19" t="s">
        <v>4</v>
      </c>
      <c r="D19" s="270">
        <v>0.75</v>
      </c>
      <c r="E19" s="270">
        <v>0.54</v>
      </c>
      <c r="F19" s="152" cm="1">
        <f t="array" ref="F19">_xll.BDP($C19&amp;" Equity","volatility_10d")/100</f>
        <v>0.14809857522309758</v>
      </c>
      <c r="G19" s="152" cm="1">
        <f t="array" ref="G19">_xll.BDP($C19&amp;" Equity","volatility_30d")/100</f>
        <v>0.14095888361043798</v>
      </c>
      <c r="AP19" t="s">
        <v>1770</v>
      </c>
    </row>
    <row r="20" spans="3:42">
      <c r="C20" t="s">
        <v>1849</v>
      </c>
      <c r="D20" s="270">
        <v>1</v>
      </c>
      <c r="F20" s="152" cm="1">
        <f t="array" ref="F20">_xll.BDP($C20&amp;" Equity","volatility_10d")/100</f>
        <v>0.12243039648092249</v>
      </c>
      <c r="G20" s="152" cm="1">
        <f t="array" ref="G20">_xll.BDP($C20&amp;" Equity","volatility_30d")/100</f>
        <v>0.15341527877636704</v>
      </c>
    </row>
    <row r="21" spans="3:42">
      <c r="C21" t="s">
        <v>3</v>
      </c>
      <c r="D21" s="270">
        <v>1</v>
      </c>
      <c r="E21" s="270">
        <v>0.9</v>
      </c>
      <c r="F21" s="152" cm="1">
        <f t="array" ref="F21">_xll.BDP($C21&amp;" Equity","volatility_10d")/100</f>
        <v>5.1275616177362024E-2</v>
      </c>
      <c r="G21" s="152" cm="1">
        <f t="array" ref="G21">_xll.BDP($C21&amp;" Equity","volatility_30d")/100</f>
        <v>0.10678441645005546</v>
      </c>
    </row>
    <row r="22" spans="3:42">
      <c r="C22" t="s">
        <v>0</v>
      </c>
      <c r="D22" s="270">
        <v>1</v>
      </c>
      <c r="E22" s="270">
        <v>1</v>
      </c>
      <c r="F22" s="152" cm="1">
        <f t="array" ref="F22">_xll.BDP($C22&amp;" Equity","volatility_10d")/100</f>
        <v>7.64488222299331E-2</v>
      </c>
      <c r="G22" s="152" cm="1">
        <f t="array" ref="G22">_xll.BDP($C22&amp;" Equity","volatility_30d")/100</f>
        <v>9.8698207661623377E-2</v>
      </c>
    </row>
    <row r="23" spans="3:42" ht="15.75">
      <c r="C23" t="s">
        <v>135</v>
      </c>
      <c r="D23" s="270">
        <v>1.2</v>
      </c>
      <c r="E23" s="270">
        <v>1.2</v>
      </c>
      <c r="F23" s="152" cm="1">
        <f t="array" ref="F23">_xll.BDP($C23&amp;" Equity","volatility_10d")/100</f>
        <v>0.14773860788860785</v>
      </c>
      <c r="G23" s="152" cm="1">
        <f t="array" ref="G23">_xll.BDP($C23&amp;" Equity","volatility_30d")/100</f>
        <v>0.1314168566808461</v>
      </c>
      <c r="K23" s="370" t="s">
        <v>1907</v>
      </c>
      <c r="L23" s="371">
        <v>-1.0963377653370632E-2</v>
      </c>
      <c r="M23" s="372">
        <v>-0.37836540865925272</v>
      </c>
      <c r="N23" s="373">
        <v>3.4133390057770963E-3</v>
      </c>
      <c r="O23" s="373">
        <v>0</v>
      </c>
      <c r="P23" s="373">
        <v>3.4133390057770963E-3</v>
      </c>
      <c r="R23" s="373"/>
    </row>
    <row r="24" spans="3:42" ht="15.75">
      <c r="C24" t="s">
        <v>144</v>
      </c>
      <c r="D24" s="270">
        <v>1.3</v>
      </c>
      <c r="E24" s="270">
        <v>1.1000000000000001</v>
      </c>
      <c r="F24" s="152" cm="1">
        <f t="array" ref="F24">_xll.BDP($C24&amp;" Equity","volatility_10d")/100</f>
        <v>0.15131643466406247</v>
      </c>
      <c r="G24" s="152" cm="1">
        <f t="array" ref="G24">_xll.BDP($C24&amp;" Equity","volatility_30d")/100</f>
        <v>0.14966913757952952</v>
      </c>
      <c r="K24" s="367" t="s">
        <v>50</v>
      </c>
      <c r="L24" s="365">
        <v>-1.0963377653370632E-2</v>
      </c>
      <c r="M24" s="368">
        <v>-0.37836540865925272</v>
      </c>
      <c r="N24" s="366">
        <v>3.4133390057770963E-3</v>
      </c>
      <c r="O24" s="366">
        <v>0</v>
      </c>
      <c r="P24" s="366">
        <v>3.4133390057770963E-3</v>
      </c>
      <c r="R24" s="366"/>
    </row>
    <row r="25" spans="3:42" ht="15.75">
      <c r="C25" t="s">
        <v>513</v>
      </c>
      <c r="D25" s="270">
        <v>0.9</v>
      </c>
      <c r="F25" s="152" cm="1">
        <f t="array" ref="F25">_xll.BDP($C25&amp;" Equity","volatility_10d")/100</f>
        <v>0.26342234182549834</v>
      </c>
      <c r="G25" s="152" cm="1">
        <f t="array" ref="G25">_xll.BDP($C25&amp;" Equity","volatility_30d")/100</f>
        <v>0.17350733311859209</v>
      </c>
      <c r="K25" s="370" t="s">
        <v>84</v>
      </c>
      <c r="L25" s="371">
        <v>-5.9553798585880949E-3</v>
      </c>
      <c r="M25" s="372">
        <v>-0.63972487206523787</v>
      </c>
      <c r="N25" s="373">
        <v>1.1232261185275198E-2</v>
      </c>
      <c r="O25" s="373">
        <v>0</v>
      </c>
      <c r="P25" s="373">
        <v>1.1232261185275198E-2</v>
      </c>
      <c r="R25" s="373"/>
    </row>
    <row r="26" spans="3:42" ht="15.75">
      <c r="C26" t="s">
        <v>81</v>
      </c>
      <c r="D26" s="270" cm="1">
        <f t="array" ref="D26">_xll.BDP(C26&amp;" EQUITY","eqy_beta")</f>
        <v>1.183393120765686</v>
      </c>
      <c r="F26" s="152" cm="1">
        <f t="array" ref="F26">_xll.BDP($C26&amp;" Equity","volatility_10d")/100</f>
        <v>0.66378967648721232</v>
      </c>
      <c r="G26" s="152" cm="1">
        <f t="array" ref="G26">_xll.BDP($C26&amp;" Equity","volatility_30d")/100</f>
        <v>0.41410227130703303</v>
      </c>
      <c r="K26" s="367" t="s">
        <v>85</v>
      </c>
      <c r="L26" s="365">
        <v>4.7598096076157947E-3</v>
      </c>
      <c r="M26" s="368">
        <v>-4.6604870922836092E-2</v>
      </c>
      <c r="N26" s="366">
        <v>-9.837935777997017E-4</v>
      </c>
      <c r="O26" s="366">
        <v>0</v>
      </c>
      <c r="P26" s="366">
        <v>-9.837935777997017E-4</v>
      </c>
      <c r="R26" s="366"/>
    </row>
    <row r="27" spans="3:42" ht="15.75">
      <c r="C27" t="s">
        <v>79</v>
      </c>
      <c r="D27" s="270" cm="1">
        <f t="array" ref="D27">_xll.BDP(C27&amp;" EQUITY","eqy_beta")</f>
        <v>1.0708433389663696</v>
      </c>
      <c r="F27" s="152" cm="1">
        <f t="array" ref="F27">_xll.BDP($C27&amp;" Equity","volatility_10d")/100</f>
        <v>0.25203405218218411</v>
      </c>
      <c r="G27" s="152" cm="1">
        <f t="array" ref="G27">_xll.BDP($C27&amp;" Equity","volatility_30d")/100</f>
        <v>0.21464054591678608</v>
      </c>
      <c r="K27" s="367" t="s">
        <v>6</v>
      </c>
      <c r="L27" s="365">
        <v>-2.9742661321608965E-3</v>
      </c>
      <c r="M27" s="368">
        <v>-0.27022992383829852</v>
      </c>
      <c r="N27" s="366">
        <v>9.0585770121445457E-3</v>
      </c>
      <c r="O27" s="366">
        <v>0</v>
      </c>
      <c r="P27" s="366">
        <v>9.0585770121445457E-3</v>
      </c>
      <c r="R27" s="366"/>
    </row>
    <row r="28" spans="3:42" ht="15.75">
      <c r="C28" t="s">
        <v>83</v>
      </c>
      <c r="D28" s="270" cm="1">
        <f t="array" ref="D28">_xll.BDP(C28&amp;" EQUITY","eqy_beta")</f>
        <v>1.193639874458313</v>
      </c>
      <c r="F28" s="152" cm="1">
        <f t="array" ref="F28">_xll.BDP($C28&amp;" Equity","volatility_10d")/100</f>
        <v>0.28306673537874666</v>
      </c>
      <c r="G28" s="152" cm="1">
        <f t="array" ref="G28">_xll.BDP($C28&amp;" Equity","volatility_30d")/100</f>
        <v>0.29592485573284399</v>
      </c>
      <c r="K28" s="367" t="s">
        <v>1681</v>
      </c>
      <c r="L28" s="365">
        <v>-3.3200841711480411E-3</v>
      </c>
      <c r="M28" s="368">
        <v>-3.8619816007486069E-2</v>
      </c>
      <c r="N28" s="366">
        <v>1.1593559977233082E-3</v>
      </c>
      <c r="O28" s="366">
        <v>0</v>
      </c>
      <c r="P28" s="366">
        <v>1.1593559977233082E-3</v>
      </c>
      <c r="R28" s="366"/>
    </row>
    <row r="29" spans="3:42" ht="15.75">
      <c r="C29" t="s">
        <v>82</v>
      </c>
      <c r="D29" s="270" cm="1">
        <f t="array" ref="D29">_xll.BDP(C29&amp;" EQUITY","eqy_beta")</f>
        <v>0.85460764169692993</v>
      </c>
      <c r="F29" s="152" cm="1">
        <f t="array" ref="F29">_xll.BDP($C29&amp;" Equity","volatility_10d")/100</f>
        <v>0.5392702634122204</v>
      </c>
      <c r="G29" s="152" cm="1">
        <f t="array" ref="G29">_xll.BDP($C29&amp;" Equity","volatility_30d")/100</f>
        <v>0.33765430434227661</v>
      </c>
      <c r="K29" s="367" t="s">
        <v>1803</v>
      </c>
      <c r="L29" s="365">
        <v>-1.9074643335697972E-2</v>
      </c>
      <c r="M29" s="368">
        <v>-0.18961576845233849</v>
      </c>
      <c r="N29" s="366">
        <v>9.7511084230964917E-4</v>
      </c>
      <c r="O29" s="366">
        <v>0</v>
      </c>
      <c r="P29" s="366">
        <v>9.7511084230964917E-4</v>
      </c>
      <c r="R29" s="366"/>
    </row>
    <row r="30" spans="3:42" ht="15.75">
      <c r="C30" t="s">
        <v>90</v>
      </c>
      <c r="D30" s="270" cm="1">
        <f t="array" ref="D30">_xll.BDP(C30&amp;" EQUITY","eqy_beta")</f>
        <v>1.0179988145828247</v>
      </c>
      <c r="F30" s="152" cm="1">
        <f t="array" ref="F30">_xll.BDP($C30&amp;" Equity","volatility_10d")/100</f>
        <v>0.66115895873968089</v>
      </c>
      <c r="G30" s="152" cm="1">
        <f t="array" ref="G30">_xll.BDP($C30&amp;" Equity","volatility_30d")/100</f>
        <v>0.3814724998057733</v>
      </c>
      <c r="K30" s="367" t="s">
        <v>1901</v>
      </c>
      <c r="L30" s="365">
        <v>-9.1677152615493585E-3</v>
      </c>
      <c r="M30" s="368">
        <v>-9.4654492844278598E-2</v>
      </c>
      <c r="N30" s="366">
        <v>1.0230109108973979E-3</v>
      </c>
      <c r="O30" s="366">
        <v>0</v>
      </c>
      <c r="P30" s="366">
        <v>1.0230109108973979E-3</v>
      </c>
      <c r="R30" s="366"/>
    </row>
    <row r="31" spans="3:42" ht="15.75">
      <c r="C31" t="s">
        <v>1681</v>
      </c>
      <c r="D31" s="270" cm="1">
        <f t="array" ref="D31">_xll.BDP(C31&amp;" EQUITY","eqy_beta")</f>
        <v>1.2239866256713867</v>
      </c>
      <c r="F31" s="152" cm="1">
        <f t="array" ref="F31">_xll.BDP($C31&amp;" Equity","volatility_10d")/100</f>
        <v>0.48549661806415856</v>
      </c>
      <c r="G31" s="152" cm="1">
        <f t="array" ref="G31">_xll.BDP($C31&amp;" Equity","volatility_30d")/100</f>
        <v>0.39833471392836395</v>
      </c>
      <c r="K31" s="370" t="s">
        <v>78</v>
      </c>
      <c r="L31" s="371">
        <v>-4.2479506412567702E-3</v>
      </c>
      <c r="M31" s="372">
        <v>1.0338056955883257</v>
      </c>
      <c r="N31" s="373">
        <v>-2.396608490698357E-2</v>
      </c>
      <c r="O31" s="373">
        <v>0</v>
      </c>
      <c r="P31" s="373">
        <v>-2.396608490698357E-2</v>
      </c>
      <c r="R31" s="373"/>
    </row>
    <row r="32" spans="3:42" ht="15.75">
      <c r="C32" t="s">
        <v>86</v>
      </c>
      <c r="D32" s="270" cm="1">
        <f t="array" ref="D32">_xll.BDP(C32&amp;" EQUITY","eqy_beta")</f>
        <v>0.84873729944229126</v>
      </c>
      <c r="F32" s="152" cm="1">
        <f t="array" ref="F32">_xll.BDP($C32&amp;" Equity","volatility_10d")/100</f>
        <v>0.31712768903148186</v>
      </c>
      <c r="G32" s="152" cm="1">
        <f t="array" ref="G32">_xll.BDP($C32&amp;" Equity","volatility_30d")/100</f>
        <v>0.24307206232175452</v>
      </c>
      <c r="K32" s="367" t="s">
        <v>3</v>
      </c>
      <c r="L32" s="365">
        <v>-3.7397353418066048E-3</v>
      </c>
      <c r="M32" s="368">
        <v>0.16241210060252317</v>
      </c>
      <c r="N32" s="366">
        <v>-4.3266356450720909E-3</v>
      </c>
      <c r="O32" s="366">
        <v>0</v>
      </c>
      <c r="P32" s="366">
        <v>-4.3266356450720909E-3</v>
      </c>
      <c r="R32" s="366"/>
    </row>
    <row r="33" spans="3:18" ht="15.75">
      <c r="C33" t="s">
        <v>87</v>
      </c>
      <c r="D33" s="270" cm="1">
        <f t="array" ref="D33">_xll.BDP(C33&amp;" EQUITY","eqy_beta")</f>
        <v>0.83255714178085327</v>
      </c>
      <c r="F33" s="152" cm="1">
        <f t="array" ref="F33">_xll.BDP($C33&amp;" Equity","volatility_10d")/100</f>
        <v>0.29878253524460507</v>
      </c>
      <c r="G33" s="152" cm="1">
        <f t="array" ref="G33">_xll.BDP($C33&amp;" Equity","volatility_30d")/100</f>
        <v>0.24123036817625951</v>
      </c>
      <c r="K33" s="367" t="s">
        <v>1908</v>
      </c>
      <c r="L33" s="365">
        <v>-4.417355741073492E-3</v>
      </c>
      <c r="M33" s="368">
        <v>0.8713935949858026</v>
      </c>
      <c r="N33" s="366">
        <v>-1.9639449261911478E-2</v>
      </c>
      <c r="O33" s="366"/>
      <c r="P33" s="366">
        <v>-1.9639449261911478E-2</v>
      </c>
      <c r="R33" s="366"/>
    </row>
    <row r="34" spans="3:18" ht="15.75">
      <c r="C34" t="s">
        <v>85</v>
      </c>
      <c r="D34" s="270" cm="1">
        <f t="array" ref="D34">_xll.BDP(C34&amp;" EQUITY","eqy_beta")</f>
        <v>0.6262969970703125</v>
      </c>
      <c r="F34" s="152" cm="1">
        <f t="array" ref="F34">_xll.BDP($C34&amp;" Equity","volatility_10d")/100</f>
        <v>0.18266123167452522</v>
      </c>
      <c r="G34" s="152" cm="1">
        <f t="array" ref="G34">_xll.BDP($C34&amp;" Equity","volatility_30d")/100</f>
        <v>0.13207809366805146</v>
      </c>
      <c r="K34" s="370" t="s">
        <v>1879</v>
      </c>
      <c r="L34" s="371">
        <v>-1.068463658385139E-2</v>
      </c>
      <c r="M34" s="372">
        <v>-0.90024740598245501</v>
      </c>
      <c r="N34" s="373">
        <v>4.8096776346909318E-3</v>
      </c>
      <c r="O34" s="373">
        <v>5.1572351618506054E-3</v>
      </c>
      <c r="P34" s="373">
        <v>9.9669127965415355E-3</v>
      </c>
      <c r="R34" s="373"/>
    </row>
    <row r="35" spans="3:18" ht="15.75">
      <c r="C35" t="s">
        <v>96</v>
      </c>
      <c r="D35" s="270" cm="1">
        <f t="array" ref="D35">_xll.BDP(C35&amp;" EQUITY","eqy_beta")</f>
        <v>1.4615918397903442</v>
      </c>
      <c r="F35" s="152" cm="1">
        <f t="array" ref="F35">_xll.BDP($C35&amp;" Equity","volatility_10d")/100</f>
        <v>0.31162927740334256</v>
      </c>
      <c r="G35" s="152" cm="1">
        <f t="array" ref="G35">_xll.BDP($C35&amp;" Equity","volatility_30d")/100</f>
        <v>0.33139979550400112</v>
      </c>
      <c r="K35" s="367" t="s">
        <v>81</v>
      </c>
      <c r="L35" s="365">
        <v>-6.4136601179329844E-3</v>
      </c>
      <c r="M35" s="368">
        <v>-0.19767788893855778</v>
      </c>
      <c r="N35" s="366">
        <v>3.0623707295760953E-3</v>
      </c>
      <c r="O35" s="366">
        <v>0</v>
      </c>
      <c r="P35" s="366">
        <v>3.0623707295760953E-3</v>
      </c>
      <c r="R35" s="366"/>
    </row>
    <row r="36" spans="3:18" ht="15.75">
      <c r="C36" t="s">
        <v>94</v>
      </c>
      <c r="D36" s="270" cm="1">
        <f t="array" ref="D36">_xll.BDP(C36&amp;" EQUITY","eqy_beta")</f>
        <v>1.8413189649581909</v>
      </c>
      <c r="F36" s="152" cm="1">
        <f t="array" ref="F36">_xll.BDP($C36&amp;" Equity","volatility_10d")/100</f>
        <v>0.28246798020761277</v>
      </c>
      <c r="G36" s="152" cm="1">
        <f t="array" ref="G36">_xll.BDP($C36&amp;" Equity","volatility_30d")/100</f>
        <v>0.27597917122458571</v>
      </c>
      <c r="K36" s="367" t="s">
        <v>82</v>
      </c>
      <c r="L36" s="365">
        <v>4.6735154486730046E-3</v>
      </c>
      <c r="M36" s="368">
        <v>1.3065464514081379E-2</v>
      </c>
      <c r="N36" s="366">
        <v>2.8087049905996193E-4</v>
      </c>
      <c r="O36" s="366">
        <v>0</v>
      </c>
      <c r="P36" s="366">
        <v>2.8087049905996193E-4</v>
      </c>
      <c r="R36" s="366"/>
    </row>
    <row r="37" spans="3:18" ht="15.75">
      <c r="C37" t="s">
        <v>356</v>
      </c>
      <c r="D37" s="270" cm="1">
        <f t="array" ref="D37">_xll.BDP(C37&amp;" EQUITY","eqy_beta")</f>
        <v>1.6607462167739868</v>
      </c>
      <c r="F37" s="152" cm="1">
        <f t="array" ref="F37">_xll.BDP($C37&amp;" Equity","volatility_10d")/100</f>
        <v>1.1232127206964113</v>
      </c>
      <c r="G37" s="152" cm="1">
        <f t="array" ref="G37">_xll.BDP($C37&amp;" Equity","volatility_30d")/100</f>
        <v>0.89018648160026759</v>
      </c>
      <c r="K37" s="367" t="s">
        <v>83</v>
      </c>
      <c r="L37" s="365">
        <v>-1.9930069930069849E-2</v>
      </c>
      <c r="M37" s="368">
        <v>-0.4000142632662666</v>
      </c>
      <c r="N37" s="366">
        <v>0</v>
      </c>
      <c r="O37" s="366">
        <v>1.6318254484903006E-3</v>
      </c>
      <c r="P37" s="366">
        <v>1.6318254484903006E-3</v>
      </c>
      <c r="R37" s="366"/>
    </row>
    <row r="38" spans="3:18" ht="15.75">
      <c r="C38" t="s">
        <v>129</v>
      </c>
      <c r="D38" s="270" cm="1">
        <f t="array" ref="D38">_xll.BDP(C38&amp;" EQUITY","eqy_beta")</f>
        <v>1.1772780418395996</v>
      </c>
      <c r="F38" s="152" cm="1">
        <f t="array" ref="F38">_xll.BDP($C38&amp;" Equity","volatility_10d")/100</f>
        <v>0.42022600387928155</v>
      </c>
      <c r="G38" s="152" cm="1">
        <f t="array" ref="G38">_xll.BDP($C38&amp;" Equity","volatility_30d")/100</f>
        <v>0.32305269281235477</v>
      </c>
      <c r="K38" s="367" t="s">
        <v>399</v>
      </c>
      <c r="L38" s="365">
        <v>1.3128112267994929E-3</v>
      </c>
      <c r="M38" s="368">
        <v>7.9154304583226778E-3</v>
      </c>
      <c r="N38" s="366">
        <v>8.2776255868375693E-4</v>
      </c>
      <c r="O38" s="366">
        <v>5.6416207697500146E-4</v>
      </c>
      <c r="P38" s="366">
        <v>1.3919246356587584E-3</v>
      </c>
      <c r="R38" s="366"/>
    </row>
    <row r="39" spans="3:18" ht="15.75">
      <c r="C39" t="s">
        <v>128</v>
      </c>
      <c r="D39" s="270" cm="1">
        <f t="array" ref="D39">_xll.BDP(C39&amp;" EQUITY","eqy_beta")</f>
        <v>1.0775153636932373</v>
      </c>
      <c r="F39" s="152" cm="1">
        <f t="array" ref="F39">_xll.BDP($C39&amp;" Equity","volatility_10d")/100</f>
        <v>0.57540813345685549</v>
      </c>
      <c r="G39" s="152" cm="1">
        <f t="array" ref="G39">_xll.BDP($C39&amp;" Equity","volatility_30d")/100</f>
        <v>0.3583597061223649</v>
      </c>
      <c r="K39" s="367" t="s">
        <v>499</v>
      </c>
      <c r="L39" s="365">
        <v>-2.3083787755390939E-2</v>
      </c>
      <c r="M39" s="368">
        <v>-0.25663139707509386</v>
      </c>
      <c r="N39" s="366">
        <v>6.3867384737111737E-4</v>
      </c>
      <c r="O39" s="366">
        <v>2.1555720957797475E-3</v>
      </c>
      <c r="P39" s="366">
        <v>2.794245943150865E-3</v>
      </c>
      <c r="Q39" s="366">
        <f>R39-P39</f>
        <v>-7.9424594315086498E-4</v>
      </c>
      <c r="R39" s="366">
        <v>2E-3</v>
      </c>
    </row>
    <row r="40" spans="3:18" ht="15.75">
      <c r="C40" t="s">
        <v>1678</v>
      </c>
      <c r="D40" s="270" cm="1">
        <f t="array" ref="D40">_xll.BDP(C40&amp;" EQUITY","eqy_beta")</f>
        <v>0.59672468900680542</v>
      </c>
      <c r="F40" s="152" cm="1">
        <f t="array" ref="F40">_xll.BDP($C40&amp;" Equity","volatility_10d")/100</f>
        <v>0.26048599166147302</v>
      </c>
      <c r="G40" s="152" cm="1">
        <f t="array" ref="G40">_xll.BDP($C40&amp;" Equity","volatility_30d")/100</f>
        <v>0.28088361489805219</v>
      </c>
      <c r="K40" s="367" t="s">
        <v>1911</v>
      </c>
      <c r="L40" s="365">
        <v>-8.2674772036475108E-3</v>
      </c>
      <c r="M40" s="368">
        <v>-6.6904751674940866E-2</v>
      </c>
      <c r="N40" s="366">
        <v>0</v>
      </c>
      <c r="O40" s="366">
        <v>8.0567554060555571E-4</v>
      </c>
      <c r="P40" s="366">
        <v>8.0567554060555571E-4</v>
      </c>
      <c r="R40" s="366"/>
    </row>
    <row r="41" spans="3:18" ht="15.75">
      <c r="C41" t="s">
        <v>1679</v>
      </c>
      <c r="D41" s="270" cm="1">
        <f t="array" ref="D41">_xll.BDP(C41&amp;" EQUITY","eqy_beta")</f>
        <v>0.53649824857711792</v>
      </c>
      <c r="F41" s="152" cm="1">
        <f t="array" ref="F41">_xll.BDP($C41&amp;" Equity","volatility_10d")/100</f>
        <v>0.30299630918926013</v>
      </c>
      <c r="G41" s="152" cm="1">
        <f t="array" ref="G41">_xll.BDP($C41&amp;" Equity","volatility_30d")/100</f>
        <v>0.25269139195398993</v>
      </c>
      <c r="K41" s="370" t="s">
        <v>1878</v>
      </c>
      <c r="L41" s="371">
        <v>-2.171898868541829E-2</v>
      </c>
      <c r="M41" s="372">
        <v>-2.1659089402196168</v>
      </c>
      <c r="N41" s="373">
        <v>7.426914807117521E-3</v>
      </c>
      <c r="O41" s="373">
        <v>1.0473448302227259E-2</v>
      </c>
      <c r="P41" s="373">
        <v>1.790069034429281E-2</v>
      </c>
      <c r="R41" s="373"/>
    </row>
    <row r="42" spans="3:18" ht="15.75">
      <c r="C42" t="s">
        <v>1680</v>
      </c>
      <c r="D42" s="270" cm="1">
        <f t="array" ref="D42">_xll.BDP(C42&amp;" EQUITY","eqy_beta")</f>
        <v>0.5453028678894043</v>
      </c>
      <c r="F42" s="152" cm="1">
        <f t="array" ref="F42">_xll.BDP($C42&amp;" Equity","volatility_10d")/100</f>
        <v>0.26273572703807285</v>
      </c>
      <c r="G42" s="152" cm="1">
        <f t="array" ref="G42">_xll.BDP($C42&amp;" Equity","volatility_30d")/100</f>
        <v>0.24279454684234575</v>
      </c>
      <c r="K42" s="367" t="s">
        <v>90</v>
      </c>
      <c r="L42" s="365">
        <v>-6.2572785972485057E-3</v>
      </c>
      <c r="M42" s="368">
        <v>-1.1994344461055253</v>
      </c>
      <c r="N42" s="366">
        <v>7.426914807117521E-3</v>
      </c>
      <c r="O42" s="366">
        <v>8.792129380292845E-3</v>
      </c>
      <c r="P42" s="366">
        <v>1.6219371422358395E-2</v>
      </c>
      <c r="Q42" s="366">
        <f>R42-P42</f>
        <v>-3.7193714223583939E-3</v>
      </c>
      <c r="R42" s="366">
        <v>1.2500000000000001E-2</v>
      </c>
    </row>
    <row r="43" spans="3:18" ht="15.75">
      <c r="C43" t="s">
        <v>1686</v>
      </c>
      <c r="D43" s="270" cm="1">
        <f t="array" ref="D43">_xll.BDP(C43&amp;" EQUITY","eqy_beta")</f>
        <v>0.75317865610122681</v>
      </c>
      <c r="F43" s="152" cm="1">
        <f t="array" ref="F43">_xll.BDP($C43&amp;" Equity","volatility_10d")/100</f>
        <v>0.22212359728994638</v>
      </c>
      <c r="G43" s="152" cm="1">
        <f t="array" ref="G43">_xll.BDP($C43&amp;" Equity","volatility_30d")/100</f>
        <v>0.24993421102889518</v>
      </c>
      <c r="K43" s="367" t="s">
        <v>1887</v>
      </c>
      <c r="L43" s="365">
        <v>-5.2642408861757861E-2</v>
      </c>
      <c r="M43" s="368">
        <v>-0.96647449411409159</v>
      </c>
      <c r="N43" s="366">
        <v>0</v>
      </c>
      <c r="O43" s="366">
        <v>1.6813189219344138E-3</v>
      </c>
      <c r="P43" s="366">
        <v>1.6813189219344138E-3</v>
      </c>
      <c r="Q43" s="366">
        <f>R43-P43</f>
        <v>-6.8131892193441378E-4</v>
      </c>
      <c r="R43" s="366">
        <v>1E-3</v>
      </c>
    </row>
    <row r="44" spans="3:18" ht="15.75">
      <c r="C44" t="s">
        <v>93</v>
      </c>
      <c r="D44" s="270" cm="1">
        <f t="array" ref="D44">_xll.BDP(C44&amp;" EQUITY","eqy_beta")</f>
        <v>0.66718763113021851</v>
      </c>
      <c r="F44" s="152" cm="1">
        <f t="array" ref="F44">_xll.BDP($C44&amp;" Equity","volatility_10d")/100</f>
        <v>1.0070057335728553</v>
      </c>
      <c r="G44" s="152" cm="1">
        <f t="array" ref="G44">_xll.BDP($C44&amp;" Equity","volatility_30d")/100</f>
        <v>0.76208819562044827</v>
      </c>
      <c r="K44" s="370" t="s">
        <v>1880</v>
      </c>
      <c r="L44" s="371">
        <v>-1.5317902816898016E-2</v>
      </c>
      <c r="M44" s="372">
        <v>-1.4805052895405777</v>
      </c>
      <c r="N44" s="373">
        <v>2.2698465837621799E-3</v>
      </c>
      <c r="O44" s="373">
        <v>9.6786193156367471E-3</v>
      </c>
      <c r="P44" s="373">
        <v>1.1948465899398925E-2</v>
      </c>
      <c r="R44" s="373"/>
    </row>
    <row r="45" spans="3:18" ht="15.75">
      <c r="C45" t="s">
        <v>92</v>
      </c>
      <c r="D45" s="270" cm="1">
        <f t="array" ref="D45">_xll.BDP(C45&amp;" EQUITY","eqy_beta")</f>
        <v>0.56353592872619629</v>
      </c>
      <c r="F45" s="152" cm="1">
        <f t="array" ref="F45">_xll.BDP($C45&amp;" Equity","volatility_10d")/100</f>
        <v>0.75646981753735287</v>
      </c>
      <c r="G45" s="152" cm="1">
        <f t="array" ref="G45">_xll.BDP($C45&amp;" Equity","volatility_30d")/100</f>
        <v>0.67353810652809121</v>
      </c>
      <c r="K45" s="367" t="s">
        <v>94</v>
      </c>
      <c r="L45" s="365">
        <v>-1.4552118141639703E-3</v>
      </c>
      <c r="M45" s="368">
        <v>-0.12432534684415254</v>
      </c>
      <c r="N45" s="366">
        <v>1.543887739934495E-3</v>
      </c>
      <c r="O45" s="366">
        <v>2.9553410385488818E-3</v>
      </c>
      <c r="P45" s="366">
        <v>4.4992287784833768E-3</v>
      </c>
      <c r="Q45" s="366">
        <f>R45-P45</f>
        <v>-9.9922877848337673E-4</v>
      </c>
      <c r="R45" s="366">
        <v>3.5000000000000001E-3</v>
      </c>
    </row>
    <row r="46" spans="3:18" ht="15.75">
      <c r="K46" s="367" t="s">
        <v>96</v>
      </c>
      <c r="L46" s="365">
        <v>-1.6534391534391513E-2</v>
      </c>
      <c r="M46" s="368">
        <v>-0.9982406526329215</v>
      </c>
      <c r="N46" s="366">
        <v>0</v>
      </c>
      <c r="O46" s="366">
        <v>5.1455045378578784E-3</v>
      </c>
      <c r="P46" s="366">
        <v>5.1455045378578784E-3</v>
      </c>
      <c r="Q46" s="366">
        <f>R46-P46</f>
        <v>-1.1455045378578783E-3</v>
      </c>
      <c r="R46" s="366">
        <v>4.0000000000000001E-3</v>
      </c>
    </row>
    <row r="47" spans="3:18" ht="15.75">
      <c r="K47" s="367" t="s">
        <v>1850</v>
      </c>
      <c r="L47" s="365">
        <v>-2.6798655211057065E-2</v>
      </c>
      <c r="M47" s="368">
        <v>1.5852618559466514E-2</v>
      </c>
      <c r="N47" s="366">
        <v>-7.9358043150606667E-4</v>
      </c>
      <c r="O47" s="366">
        <v>9.8607657949751791E-4</v>
      </c>
      <c r="P47" s="366">
        <v>1.9249614799145119E-4</v>
      </c>
      <c r="Q47" s="366">
        <f>R47-P47</f>
        <v>-1.9249614799145119E-4</v>
      </c>
      <c r="R47" s="366">
        <v>0</v>
      </c>
    </row>
    <row r="48" spans="3:18" ht="15.75">
      <c r="K48" s="367" t="s">
        <v>137</v>
      </c>
      <c r="L48" s="365">
        <v>-1.6483352707979515E-2</v>
      </c>
      <c r="M48" s="368">
        <v>-0.37379190862297018</v>
      </c>
      <c r="N48" s="366">
        <v>1.5195392753337515E-3</v>
      </c>
      <c r="O48" s="366">
        <v>5.9169715973246908E-4</v>
      </c>
      <c r="P48" s="366">
        <v>2.1112364350662207E-3</v>
      </c>
      <c r="Q48" s="366">
        <f>R48-P48</f>
        <v>-6.1123643506622071E-4</v>
      </c>
      <c r="R48" s="366">
        <v>1.5E-3</v>
      </c>
    </row>
    <row r="49" spans="11:18" ht="15.75">
      <c r="K49" s="370" t="s">
        <v>1677</v>
      </c>
      <c r="L49" s="371">
        <v>-8.4026174193907455E-4</v>
      </c>
      <c r="M49" s="372">
        <v>-1.7578782910323221E-2</v>
      </c>
      <c r="N49" s="373">
        <v>-1.5669404759838411E-3</v>
      </c>
      <c r="O49" s="373">
        <v>2.4004823085147778E-3</v>
      </c>
      <c r="P49" s="373">
        <v>8.3354183253093669E-4</v>
      </c>
      <c r="R49" s="373"/>
    </row>
    <row r="50" spans="11:18" ht="15.75">
      <c r="K50" s="367" t="s">
        <v>1678</v>
      </c>
      <c r="L50" s="365">
        <v>-1.2919896640827266E-3</v>
      </c>
      <c r="M50" s="368">
        <v>-7.1821978952513466E-2</v>
      </c>
      <c r="N50" s="366">
        <v>1.3471744978480506E-3</v>
      </c>
      <c r="O50" s="366">
        <v>2.4004823085147778E-3</v>
      </c>
      <c r="P50" s="366">
        <v>3.7476568063628283E-3</v>
      </c>
      <c r="R50" s="366"/>
    </row>
    <row r="51" spans="11:18" ht="15.75">
      <c r="K51" s="367" t="s">
        <v>1679</v>
      </c>
      <c r="L51" s="365">
        <v>7.8093442843678584E-3</v>
      </c>
      <c r="M51" s="368">
        <v>-9.7169632839115672E-2</v>
      </c>
      <c r="N51" s="366">
        <v>-1.2539908651737638E-3</v>
      </c>
      <c r="O51" s="366">
        <v>0</v>
      </c>
      <c r="P51" s="366">
        <v>-1.2539908651737638E-3</v>
      </c>
      <c r="R51" s="366"/>
    </row>
    <row r="52" spans="11:18" ht="15.75">
      <c r="K52" s="367" t="s">
        <v>1680</v>
      </c>
      <c r="L52" s="365">
        <v>-9.0381398461023554E-3</v>
      </c>
      <c r="M52" s="368">
        <v>0.15141282888130592</v>
      </c>
      <c r="N52" s="366">
        <v>-1.6601241086581279E-3</v>
      </c>
      <c r="O52" s="366">
        <v>0</v>
      </c>
      <c r="P52" s="366">
        <v>-1.6601241086581279E-3</v>
      </c>
      <c r="R52" s="366"/>
    </row>
    <row r="53" spans="11:18" ht="15.75">
      <c r="K53" s="370" t="s">
        <v>1895</v>
      </c>
      <c r="L53" s="371">
        <v>8.5655571165981219E-4</v>
      </c>
      <c r="M53" s="372">
        <v>0.30047010447379285</v>
      </c>
      <c r="N53" s="373">
        <v>2.4558330120338706E-3</v>
      </c>
      <c r="O53" s="373">
        <v>4.083701484987501E-3</v>
      </c>
      <c r="P53" s="373">
        <v>6.5395344970213716E-3</v>
      </c>
      <c r="R53" s="373"/>
    </row>
    <row r="54" spans="11:18" ht="15.75">
      <c r="K54" s="367" t="s">
        <v>92</v>
      </c>
      <c r="L54" s="365">
        <v>-2.0689655172413945E-2</v>
      </c>
      <c r="M54" s="368">
        <v>-0.14686408904255172</v>
      </c>
      <c r="N54" s="366">
        <v>6.9515668813474141E-4</v>
      </c>
      <c r="O54" s="366">
        <v>0</v>
      </c>
      <c r="P54" s="366">
        <v>6.9515668813474141E-4</v>
      </c>
      <c r="R54" s="366"/>
    </row>
    <row r="55" spans="11:18" ht="15.75">
      <c r="K55" s="367" t="s">
        <v>93</v>
      </c>
      <c r="L55" s="365">
        <v>-2.6907036189963707E-3</v>
      </c>
      <c r="M55" s="368">
        <v>-1.8493996397951615E-2</v>
      </c>
      <c r="N55" s="366">
        <v>4.83868218698858E-4</v>
      </c>
      <c r="O55" s="366">
        <v>2.5123589968408243E-4</v>
      </c>
      <c r="P55" s="366">
        <v>7.3510411838294048E-4</v>
      </c>
      <c r="R55" s="366"/>
    </row>
    <row r="56" spans="11:18" ht="15.75">
      <c r="K56" s="367" t="s">
        <v>1693</v>
      </c>
      <c r="L56" s="365">
        <v>6.5590866677642801E-3</v>
      </c>
      <c r="M56" s="368">
        <v>0.11670799609248043</v>
      </c>
      <c r="N56" s="366">
        <v>1.276808105200271E-3</v>
      </c>
      <c r="O56" s="366">
        <v>6.7729666444606672E-4</v>
      </c>
      <c r="P56" s="366">
        <v>1.9541047696463375E-3</v>
      </c>
      <c r="R56" s="366"/>
    </row>
    <row r="57" spans="11:18" ht="15.75">
      <c r="K57" s="367" t="s">
        <v>484</v>
      </c>
      <c r="L57" s="365">
        <v>8.594130047024473E-3</v>
      </c>
      <c r="M57" s="368">
        <v>0.16635599412441882</v>
      </c>
      <c r="N57" s="366">
        <v>0</v>
      </c>
      <c r="O57" s="366">
        <v>1.544348871542936E-3</v>
      </c>
      <c r="P57" s="366">
        <v>1.544348871542936E-3</v>
      </c>
      <c r="R57" s="366"/>
    </row>
    <row r="58" spans="11:18" ht="15.75">
      <c r="K58" s="367" t="s">
        <v>1910</v>
      </c>
      <c r="L58" s="365">
        <v>1.2509920634920624E-2</v>
      </c>
      <c r="M58" s="368">
        <v>0.18276419969739696</v>
      </c>
      <c r="N58" s="366">
        <v>0</v>
      </c>
      <c r="O58" s="366">
        <v>1.6108200493144163E-3</v>
      </c>
      <c r="P58" s="366">
        <v>1.6108200493144163E-3</v>
      </c>
      <c r="R58" s="366"/>
    </row>
    <row r="59" spans="11:18" ht="15.75">
      <c r="K59" s="374" t="s">
        <v>97</v>
      </c>
      <c r="L59" s="375">
        <v>-8.037222487176969E-3</v>
      </c>
      <c r="M59" s="376">
        <v>-4.2480548993153455</v>
      </c>
      <c r="N59" s="377">
        <v>6.0748468456893858E-3</v>
      </c>
      <c r="O59" s="377">
        <v>3.17934865732169E-2</v>
      </c>
      <c r="P59" s="377">
        <v>3.7868660653854309E-2</v>
      </c>
      <c r="R59" s="377"/>
    </row>
  </sheetData>
  <conditionalFormatting sqref="F5:F45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4:AE1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59">
    <cfRule type="cellIs" dxfId="1668" priority="6" operator="lessThan">
      <formula>0</formula>
    </cfRule>
  </conditionalFormatting>
  <conditionalFormatting sqref="L23:O59">
    <cfRule type="cellIs" dxfId="1667" priority="5" operator="lessThan">
      <formula>0</formula>
    </cfRule>
  </conditionalFormatting>
  <conditionalFormatting sqref="R23:R59">
    <cfRule type="cellIs" dxfId="1666" priority="4" operator="lessThan">
      <formula>0</formula>
    </cfRule>
  </conditionalFormatting>
  <conditionalFormatting sqref="Q45:Q48">
    <cfRule type="cellIs" dxfId="1665" priority="3" operator="lessThan">
      <formula>0</formula>
    </cfRule>
  </conditionalFormatting>
  <conditionalFormatting sqref="Q42:Q43">
    <cfRule type="cellIs" dxfId="1664" priority="2" operator="lessThan">
      <formula>0</formula>
    </cfRule>
  </conditionalFormatting>
  <conditionalFormatting sqref="Q39">
    <cfRule type="cellIs" dxfId="1663" priority="1" operator="lessThan">
      <formula>0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58E60-E46B-4FD1-A82E-6DC5A1454A92}">
  <dimension ref="C5:AD68"/>
  <sheetViews>
    <sheetView topLeftCell="E40" workbookViewId="0">
      <selection activeCell="H61" sqref="H61"/>
    </sheetView>
  </sheetViews>
  <sheetFormatPr defaultRowHeight="15"/>
  <cols>
    <col min="1" max="2" width="1.5703125" customWidth="1"/>
    <col min="3" max="3" width="6.140625" bestFit="1" customWidth="1"/>
    <col min="4" max="4" width="6.85546875" bestFit="1" customWidth="1"/>
    <col min="5" max="6" width="6.140625" bestFit="1" customWidth="1"/>
    <col min="7" max="7" width="8.5703125" customWidth="1"/>
    <col min="8" max="8" width="21.7109375" bestFit="1" customWidth="1"/>
    <col min="9" max="9" width="12.28515625" customWidth="1"/>
    <col min="13" max="13" width="2.5703125" customWidth="1"/>
    <col min="14" max="14" width="8.42578125" customWidth="1"/>
    <col min="15" max="15" width="8" bestFit="1" customWidth="1"/>
    <col min="22" max="30" width="6.85546875" style="274" customWidth="1"/>
  </cols>
  <sheetData>
    <row r="5" spans="3:30" s="6" customFormat="1">
      <c r="I5" s="6" t="s">
        <v>2391</v>
      </c>
      <c r="J5" s="6" t="s">
        <v>2388</v>
      </c>
      <c r="K5" s="6" t="s">
        <v>2390</v>
      </c>
      <c r="L5" s="6" t="s">
        <v>2389</v>
      </c>
      <c r="O5" s="6" t="s">
        <v>5</v>
      </c>
      <c r="P5" s="6" t="s">
        <v>2395</v>
      </c>
      <c r="Q5" s="6" t="s">
        <v>2395</v>
      </c>
      <c r="R5" s="6" t="s">
        <v>2396</v>
      </c>
      <c r="S5" s="6" t="s">
        <v>2394</v>
      </c>
      <c r="T5" s="6" t="s">
        <v>2394</v>
      </c>
      <c r="V5" s="439" t="s">
        <v>1958</v>
      </c>
      <c r="W5" s="439" t="s">
        <v>1958</v>
      </c>
      <c r="X5" s="439" t="s">
        <v>1955</v>
      </c>
      <c r="Y5" s="439" t="s">
        <v>1955</v>
      </c>
      <c r="Z5" s="439" t="s">
        <v>1956</v>
      </c>
      <c r="AA5" s="439" t="s">
        <v>1956</v>
      </c>
      <c r="AB5" s="439" t="s">
        <v>1957</v>
      </c>
      <c r="AC5" s="439" t="s">
        <v>1957</v>
      </c>
      <c r="AD5" s="439" t="s">
        <v>1958</v>
      </c>
    </row>
    <row r="6" spans="3:30" s="6" customFormat="1">
      <c r="V6" s="439" t="s">
        <v>2392</v>
      </c>
      <c r="W6" s="439" t="s">
        <v>2393</v>
      </c>
      <c r="X6" s="439" t="s">
        <v>2392</v>
      </c>
      <c r="Y6" s="439" t="s">
        <v>2393</v>
      </c>
      <c r="Z6" s="439" t="s">
        <v>2392</v>
      </c>
      <c r="AA6" s="439" t="s">
        <v>2393</v>
      </c>
      <c r="AB6" s="439" t="s">
        <v>2392</v>
      </c>
      <c r="AC6" s="439" t="s">
        <v>2393</v>
      </c>
      <c r="AD6" s="439" t="s">
        <v>2392</v>
      </c>
    </row>
    <row r="7" spans="3:30">
      <c r="P7" s="440"/>
      <c r="Q7" s="440"/>
      <c r="R7" s="440"/>
      <c r="T7" s="440"/>
    </row>
    <row r="8" spans="3:30">
      <c r="C8" t="s">
        <v>399</v>
      </c>
      <c r="D8" s="42">
        <v>2.0999999999999999E-3</v>
      </c>
      <c r="E8" s="42">
        <v>2.9999999999999997E-4</v>
      </c>
      <c r="F8" s="42">
        <f>D8+E8</f>
        <v>2.3999999999999998E-3</v>
      </c>
      <c r="H8" t="e">
        <f>Options!#REF!</f>
        <v>#REF!</v>
      </c>
      <c r="I8" s="270" t="e">
        <f>Options!#REF!</f>
        <v>#REF!</v>
      </c>
      <c r="J8" s="42" t="e">
        <f>Options!#REF!</f>
        <v>#REF!</v>
      </c>
      <c r="K8" s="42" t="e">
        <f>Options!#REF!</f>
        <v>#REF!</v>
      </c>
      <c r="L8" s="42" t="e">
        <f>Options!#REF!</f>
        <v>#REF!</v>
      </c>
    </row>
    <row r="9" spans="3:30">
      <c r="D9" s="42"/>
      <c r="E9" s="42"/>
      <c r="F9" s="42"/>
      <c r="I9" s="270"/>
      <c r="J9" s="42"/>
      <c r="K9" s="42"/>
      <c r="L9" s="42"/>
      <c r="V9" s="274">
        <v>31.5</v>
      </c>
      <c r="W9" s="274">
        <v>29.6</v>
      </c>
      <c r="X9" s="274">
        <v>34.72</v>
      </c>
      <c r="Y9" s="274">
        <v>33.4</v>
      </c>
      <c r="Z9" s="274">
        <v>29.3</v>
      </c>
      <c r="AA9" s="274">
        <v>28.9</v>
      </c>
      <c r="AB9" s="274">
        <v>36.9</v>
      </c>
      <c r="AC9" s="274">
        <v>35.4</v>
      </c>
      <c r="AD9" s="274">
        <v>34.299999999999997</v>
      </c>
    </row>
    <row r="10" spans="3:30">
      <c r="D10" s="42"/>
      <c r="E10" s="42"/>
      <c r="F10" s="42"/>
      <c r="I10" s="270"/>
      <c r="J10" s="42"/>
      <c r="K10" s="42"/>
      <c r="L10" s="42"/>
      <c r="V10" s="439"/>
      <c r="W10" s="439">
        <f>W9-V9</f>
        <v>-1.8999999999999986</v>
      </c>
      <c r="X10" s="439"/>
      <c r="Y10" s="439">
        <f>Y9-X9</f>
        <v>-1.3200000000000003</v>
      </c>
      <c r="Z10" s="439"/>
      <c r="AA10" s="439">
        <f>AA9-Z9</f>
        <v>-0.40000000000000213</v>
      </c>
      <c r="AB10" s="439"/>
      <c r="AC10" s="439">
        <f>AC9-AB9</f>
        <v>-1.5</v>
      </c>
      <c r="AD10" s="439"/>
    </row>
    <row r="11" spans="3:30">
      <c r="D11" s="42"/>
      <c r="E11" s="42"/>
      <c r="F11" s="42"/>
      <c r="I11" s="270"/>
      <c r="J11" s="42"/>
      <c r="K11" s="42"/>
      <c r="L11" s="42"/>
    </row>
    <row r="12" spans="3:30">
      <c r="D12" s="42"/>
      <c r="E12" s="42"/>
      <c r="F12" s="42"/>
      <c r="I12" s="270"/>
      <c r="J12" s="42"/>
      <c r="K12" s="42"/>
      <c r="L12" s="42"/>
    </row>
    <row r="13" spans="3:30" s="6" customFormat="1">
      <c r="C13" s="446" t="s">
        <v>81</v>
      </c>
      <c r="D13" s="447">
        <v>-2.0000000000000001E-4</v>
      </c>
      <c r="E13" s="438"/>
      <c r="F13" s="438"/>
      <c r="H13" s="446"/>
      <c r="I13" s="446"/>
      <c r="J13" s="446"/>
      <c r="K13" s="446"/>
      <c r="L13" s="446"/>
      <c r="M13" s="446"/>
      <c r="N13" s="446"/>
      <c r="O13" s="453">
        <v>672</v>
      </c>
      <c r="P13" s="453">
        <v>750</v>
      </c>
      <c r="Q13" s="453">
        <v>710</v>
      </c>
      <c r="R13" s="453">
        <v>672</v>
      </c>
      <c r="S13" s="453">
        <v>630</v>
      </c>
      <c r="T13" s="453">
        <v>600</v>
      </c>
      <c r="U13" s="446"/>
      <c r="V13" s="449"/>
      <c r="W13" s="449"/>
      <c r="X13" s="449"/>
      <c r="Y13" s="449"/>
      <c r="Z13" s="449"/>
      <c r="AA13" s="449"/>
      <c r="AB13" s="449"/>
      <c r="AC13" s="449"/>
      <c r="AD13" s="449"/>
    </row>
    <row r="14" spans="3:30" s="6" customFormat="1">
      <c r="C14" s="446"/>
      <c r="D14" s="447"/>
      <c r="E14" s="438"/>
      <c r="F14" s="438"/>
      <c r="H14" s="446"/>
      <c r="I14" s="446"/>
      <c r="J14" s="446"/>
      <c r="K14" s="446"/>
      <c r="L14" s="446"/>
      <c r="M14" s="446"/>
      <c r="N14" s="446"/>
      <c r="O14" s="446"/>
      <c r="P14" s="454">
        <f>P13/$O13-1</f>
        <v>0.1160714285714286</v>
      </c>
      <c r="Q14" s="454">
        <f>Q13/$O13-1</f>
        <v>5.6547619047619069E-2</v>
      </c>
      <c r="R14" s="454">
        <f>R13/$O13-1</f>
        <v>0</v>
      </c>
      <c r="S14" s="454">
        <f>S13/$O13-1</f>
        <v>-6.25E-2</v>
      </c>
      <c r="T14" s="454">
        <f>T13/$O13-1</f>
        <v>-0.1071428571428571</v>
      </c>
      <c r="U14" s="446"/>
      <c r="V14" s="449"/>
      <c r="W14" s="449"/>
      <c r="X14" s="449"/>
      <c r="Y14" s="449"/>
      <c r="Z14" s="449"/>
      <c r="AA14" s="449"/>
      <c r="AB14" s="449"/>
      <c r="AC14" s="449"/>
      <c r="AD14" s="449"/>
    </row>
    <row r="15" spans="3:30" s="6" customFormat="1">
      <c r="C15" s="446"/>
      <c r="D15" s="447"/>
      <c r="E15" s="42"/>
      <c r="F15" s="42"/>
      <c r="G15"/>
      <c r="H15" s="446"/>
      <c r="I15" s="446"/>
      <c r="J15" s="446"/>
      <c r="K15" s="446"/>
      <c r="L15" s="446"/>
      <c r="M15" s="446"/>
      <c r="N15" s="446"/>
      <c r="O15" s="446"/>
      <c r="P15" s="446"/>
      <c r="Q15" s="446"/>
      <c r="R15" s="446"/>
      <c r="S15" s="446"/>
      <c r="T15" s="446"/>
      <c r="U15" s="446"/>
      <c r="V15" s="444"/>
      <c r="W15" s="444"/>
      <c r="X15" s="444"/>
      <c r="Y15" s="444"/>
      <c r="Z15" s="444"/>
      <c r="AA15" s="444"/>
      <c r="AB15" s="444"/>
      <c r="AC15" s="444"/>
      <c r="AD15" s="444"/>
    </row>
    <row r="16" spans="3:30">
      <c r="C16" s="441"/>
      <c r="D16" s="442"/>
      <c r="E16" s="42"/>
      <c r="F16" s="42"/>
      <c r="H16" s="441"/>
      <c r="I16" s="443"/>
      <c r="J16" s="442"/>
      <c r="K16" s="442"/>
      <c r="L16" s="442" t="e">
        <f>L17*Q18/100</f>
        <v>#REF!</v>
      </c>
      <c r="M16" s="441"/>
      <c r="N16" s="441"/>
      <c r="O16" s="441"/>
      <c r="P16" s="441"/>
      <c r="Q16" s="441"/>
      <c r="R16" s="441"/>
      <c r="S16" s="441"/>
      <c r="T16" s="441"/>
      <c r="U16" s="441"/>
      <c r="V16" s="444"/>
      <c r="W16" s="444"/>
      <c r="X16" s="444"/>
      <c r="Y16" s="444"/>
      <c r="Z16" s="444"/>
      <c r="AA16" s="444"/>
      <c r="AB16" s="444"/>
      <c r="AC16" s="444"/>
      <c r="AD16" s="444"/>
    </row>
    <row r="17" spans="3:30">
      <c r="C17" s="441"/>
      <c r="D17" s="442"/>
      <c r="E17" s="42"/>
      <c r="F17" s="42"/>
      <c r="H17" s="446" t="str">
        <f>'Options Price'!B171</f>
        <v>META US 07/17/26 C700</v>
      </c>
      <c r="I17" s="448" t="e">
        <f>Options!#REF!</f>
        <v>#REF!</v>
      </c>
      <c r="J17" s="447" t="e">
        <f>Options!#REF!</f>
        <v>#REF!</v>
      </c>
      <c r="K17" s="447" t="e">
        <f>Options!#REF!</f>
        <v>#REF!</v>
      </c>
      <c r="L17" s="447" t="e">
        <f>Options!#REF!</f>
        <v>#REF!</v>
      </c>
      <c r="M17" s="441"/>
      <c r="N17" s="441" t="s">
        <v>1</v>
      </c>
      <c r="O17" s="441">
        <v>37</v>
      </c>
      <c r="P17" s="441">
        <v>34</v>
      </c>
      <c r="Q17" s="441">
        <v>34</v>
      </c>
      <c r="R17" s="441">
        <v>34</v>
      </c>
      <c r="S17" s="441">
        <v>34</v>
      </c>
      <c r="T17" s="441">
        <v>34</v>
      </c>
      <c r="U17" s="441"/>
      <c r="V17" s="444">
        <v>36.299999999999997</v>
      </c>
      <c r="W17" s="444">
        <v>34.119999999999997</v>
      </c>
      <c r="X17" s="444">
        <v>39.200000000000003</v>
      </c>
      <c r="Y17" s="444">
        <v>37.200000000000003</v>
      </c>
      <c r="Z17" s="444">
        <v>32</v>
      </c>
      <c r="AA17" s="444">
        <v>31.7</v>
      </c>
      <c r="AB17" s="444">
        <v>37</v>
      </c>
      <c r="AC17" s="444">
        <v>38.5</v>
      </c>
      <c r="AD17" s="444">
        <v>36.5</v>
      </c>
    </row>
    <row r="18" spans="3:30">
      <c r="C18" s="441"/>
      <c r="D18" s="442"/>
      <c r="E18" s="42"/>
      <c r="F18" s="42"/>
      <c r="H18" s="441"/>
      <c r="I18" s="443"/>
      <c r="J18" s="442"/>
      <c r="K18" s="442"/>
      <c r="L18" s="442"/>
      <c r="M18" s="441"/>
      <c r="N18" s="441" t="s">
        <v>220</v>
      </c>
      <c r="O18" s="441">
        <v>53</v>
      </c>
      <c r="P18" s="441">
        <v>71</v>
      </c>
      <c r="Q18" s="441">
        <v>62</v>
      </c>
      <c r="R18" s="441">
        <v>52</v>
      </c>
      <c r="S18" s="441">
        <v>52</v>
      </c>
      <c r="T18" s="441">
        <v>34</v>
      </c>
      <c r="U18" s="441"/>
      <c r="V18" s="449"/>
      <c r="W18" s="449">
        <f>W17-V17</f>
        <v>-2.1799999999999997</v>
      </c>
      <c r="X18" s="449"/>
      <c r="Y18" s="449">
        <f>Y17-X17</f>
        <v>-2</v>
      </c>
      <c r="Z18" s="449"/>
      <c r="AA18" s="449">
        <f>AA17-Z17</f>
        <v>-0.30000000000000071</v>
      </c>
      <c r="AB18" s="449"/>
      <c r="AC18" s="449">
        <f>AC17-AB17</f>
        <v>1.5</v>
      </c>
      <c r="AD18" s="449"/>
    </row>
    <row r="19" spans="3:30">
      <c r="C19" s="441"/>
      <c r="D19" s="442"/>
      <c r="E19" s="42"/>
      <c r="F19" s="42"/>
      <c r="H19" s="441"/>
      <c r="I19" s="443"/>
      <c r="J19" s="442"/>
      <c r="K19" s="442"/>
      <c r="L19" s="442"/>
      <c r="M19" s="441"/>
      <c r="N19" s="441" t="s">
        <v>5</v>
      </c>
      <c r="O19" s="441">
        <v>64</v>
      </c>
      <c r="P19" s="441">
        <v>106</v>
      </c>
      <c r="Q19" s="441">
        <v>80</v>
      </c>
      <c r="R19" s="441">
        <v>58</v>
      </c>
      <c r="S19" s="441">
        <v>38</v>
      </c>
      <c r="T19" s="441">
        <v>27</v>
      </c>
      <c r="U19" s="441"/>
      <c r="V19" s="444"/>
      <c r="W19" s="444"/>
      <c r="X19" s="444"/>
      <c r="Y19" s="444"/>
      <c r="Z19" s="444"/>
      <c r="AA19" s="444"/>
      <c r="AB19" s="444"/>
      <c r="AC19" s="444"/>
      <c r="AD19" s="444"/>
    </row>
    <row r="20" spans="3:30">
      <c r="C20" s="441"/>
      <c r="D20" s="442"/>
      <c r="E20" s="42"/>
      <c r="F20" s="42"/>
      <c r="H20" s="441"/>
      <c r="I20" s="443"/>
      <c r="J20" s="442"/>
      <c r="K20" s="442"/>
      <c r="L20" s="442"/>
      <c r="M20" s="441"/>
      <c r="N20" s="441" t="s">
        <v>103</v>
      </c>
      <c r="O20" s="441"/>
      <c r="P20" s="445">
        <f>P19/$O19-1</f>
        <v>0.65625</v>
      </c>
      <c r="Q20" s="445">
        <f>Q19/$O19-1</f>
        <v>0.25</v>
      </c>
      <c r="R20" s="445">
        <f>R19/$O19-1</f>
        <v>-9.375E-2</v>
      </c>
      <c r="S20" s="445">
        <f>S19/$O19-1</f>
        <v>-0.40625</v>
      </c>
      <c r="T20" s="445">
        <f>T19/$O19-1</f>
        <v>-0.578125</v>
      </c>
      <c r="U20" s="441"/>
      <c r="V20" s="444"/>
      <c r="W20" s="444"/>
      <c r="X20" s="444"/>
      <c r="Y20" s="444"/>
      <c r="Z20" s="444"/>
      <c r="AA20" s="444"/>
      <c r="AB20" s="444"/>
      <c r="AC20" s="444"/>
      <c r="AD20" s="444"/>
    </row>
    <row r="21" spans="3:30">
      <c r="C21" s="441"/>
      <c r="D21" s="442"/>
      <c r="E21" s="42"/>
      <c r="F21" s="42"/>
      <c r="H21" s="441"/>
      <c r="I21" s="443"/>
      <c r="J21" s="442"/>
      <c r="K21" s="442"/>
      <c r="L21" s="442"/>
      <c r="M21" s="441"/>
      <c r="N21" s="441" t="s">
        <v>2320</v>
      </c>
      <c r="O21" s="441"/>
      <c r="P21" s="443" t="e">
        <f>$I$17*(1+P20)</f>
        <v>#REF!</v>
      </c>
      <c r="Q21" s="443" t="e">
        <f>$I$17*(1+Q20)</f>
        <v>#REF!</v>
      </c>
      <c r="R21" s="443" t="e">
        <f>$I$17*(1+R20)</f>
        <v>#REF!</v>
      </c>
      <c r="S21" s="443" t="e">
        <f>$I$17*(1+S20)</f>
        <v>#REF!</v>
      </c>
      <c r="T21" s="443" t="e">
        <f>$I$17*(1+T20)</f>
        <v>#REF!</v>
      </c>
      <c r="U21" s="441"/>
      <c r="V21" s="444"/>
      <c r="W21" s="444"/>
      <c r="X21" s="444"/>
      <c r="Y21" s="444"/>
      <c r="Z21" s="444"/>
      <c r="AA21" s="444"/>
      <c r="AB21" s="444"/>
      <c r="AC21" s="444"/>
      <c r="AD21" s="444"/>
    </row>
    <row r="22" spans="3:30">
      <c r="C22" s="441"/>
      <c r="D22" s="442"/>
      <c r="E22" s="42"/>
      <c r="F22" s="42"/>
      <c r="H22" s="441"/>
      <c r="I22" s="443"/>
      <c r="J22" s="442"/>
      <c r="K22" s="442"/>
      <c r="L22" s="442"/>
      <c r="M22" s="441"/>
      <c r="N22" s="441" t="s">
        <v>2397</v>
      </c>
      <c r="O22" s="441"/>
      <c r="P22" s="443" t="e">
        <f>P21-$I$17</f>
        <v>#REF!</v>
      </c>
      <c r="Q22" s="443" t="e">
        <f>Q21-$I$17</f>
        <v>#REF!</v>
      </c>
      <c r="R22" s="443" t="e">
        <f>R21-$I$17</f>
        <v>#REF!</v>
      </c>
      <c r="S22" s="443" t="e">
        <f>S21-$I$17</f>
        <v>#REF!</v>
      </c>
      <c r="T22" s="443" t="e">
        <f>T21-$I$17</f>
        <v>#REF!</v>
      </c>
      <c r="U22" s="441"/>
      <c r="V22" s="444"/>
      <c r="W22" s="444"/>
      <c r="X22" s="444"/>
      <c r="Y22" s="444"/>
      <c r="Z22" s="444"/>
      <c r="AA22" s="444"/>
      <c r="AB22" s="444"/>
      <c r="AC22" s="444"/>
      <c r="AD22" s="444"/>
    </row>
    <row r="23" spans="3:30" ht="15.75" thickBot="1">
      <c r="C23" s="441"/>
      <c r="D23" s="442"/>
      <c r="E23" s="42"/>
      <c r="F23" s="42"/>
      <c r="H23" s="441"/>
      <c r="I23" s="443"/>
      <c r="J23" s="442"/>
      <c r="K23" s="442"/>
      <c r="L23" s="442"/>
      <c r="M23" s="441"/>
      <c r="N23" s="441"/>
      <c r="O23" s="441"/>
      <c r="P23" s="441"/>
      <c r="Q23" s="441"/>
      <c r="R23" s="441"/>
      <c r="S23" s="441"/>
      <c r="T23" s="441"/>
      <c r="U23" s="441"/>
      <c r="V23" s="444"/>
      <c r="W23" s="444"/>
      <c r="X23" s="444"/>
      <c r="Y23" s="444"/>
      <c r="Z23" s="444"/>
      <c r="AA23" s="444"/>
      <c r="AB23" s="444"/>
      <c r="AC23" s="444"/>
      <c r="AD23" s="444"/>
    </row>
    <row r="24" spans="3:30" ht="15.75" thickBot="1">
      <c r="C24" s="441"/>
      <c r="D24" s="442"/>
      <c r="E24" s="42"/>
      <c r="F24" s="42"/>
      <c r="H24" s="451" t="s">
        <v>220</v>
      </c>
      <c r="I24" s="452" t="e">
        <f>K17*10000</f>
        <v>#REF!</v>
      </c>
      <c r="J24" s="442"/>
      <c r="K24" s="442"/>
      <c r="L24" s="442"/>
      <c r="M24" s="441"/>
      <c r="N24" s="441"/>
      <c r="O24" s="441"/>
      <c r="P24" s="450" t="e">
        <f>P22/$I$24</f>
        <v>#REF!</v>
      </c>
      <c r="Q24" s="450" t="e">
        <f>Q22/$I$24</f>
        <v>#REF!</v>
      </c>
      <c r="R24" s="450" t="e">
        <f>R22/$I$24</f>
        <v>#REF!</v>
      </c>
      <c r="S24" s="450" t="e">
        <f>S22/$I$24</f>
        <v>#REF!</v>
      </c>
      <c r="T24" s="450" t="e">
        <f>T22/$I$24</f>
        <v>#REF!</v>
      </c>
      <c r="U24" s="441"/>
      <c r="V24" s="444"/>
      <c r="W24" s="444"/>
      <c r="X24" s="444"/>
      <c r="Y24" s="444"/>
      <c r="Z24" s="444"/>
      <c r="AA24" s="444"/>
      <c r="AB24" s="444"/>
      <c r="AC24" s="444"/>
      <c r="AD24" s="444"/>
    </row>
    <row r="25" spans="3:30">
      <c r="D25" s="42"/>
      <c r="E25" s="42"/>
      <c r="F25" s="42"/>
      <c r="H25" s="441"/>
      <c r="I25" s="443"/>
      <c r="J25" s="442"/>
      <c r="K25" s="442"/>
      <c r="L25" s="442"/>
      <c r="M25" s="441"/>
      <c r="N25" s="441"/>
      <c r="O25" s="441"/>
      <c r="P25" s="441"/>
      <c r="Q25" s="441"/>
      <c r="R25" s="441"/>
      <c r="S25" s="441"/>
      <c r="T25" s="441"/>
      <c r="U25" s="441"/>
      <c r="V25" s="444"/>
      <c r="W25" s="444"/>
      <c r="X25" s="444"/>
      <c r="Y25" s="444"/>
      <c r="Z25" s="444"/>
      <c r="AA25" s="444"/>
      <c r="AB25" s="444"/>
      <c r="AC25" s="444"/>
      <c r="AD25" s="444"/>
    </row>
    <row r="26" spans="3:30">
      <c r="D26" s="42"/>
      <c r="E26" s="42"/>
      <c r="F26" s="42"/>
      <c r="H26" s="441"/>
      <c r="I26" s="443"/>
      <c r="J26" s="442"/>
      <c r="K26" s="442"/>
      <c r="L26" s="442" t="e">
        <f>L27*Q28/100</f>
        <v>#REF!</v>
      </c>
      <c r="M26" s="441"/>
      <c r="N26" s="441"/>
      <c r="O26" s="441"/>
      <c r="P26" s="441"/>
      <c r="Q26" s="441"/>
      <c r="R26" s="441"/>
      <c r="S26" s="441"/>
      <c r="T26" s="441"/>
      <c r="U26" s="441"/>
      <c r="V26" s="444"/>
      <c r="W26" s="444"/>
      <c r="X26" s="444"/>
      <c r="Y26" s="444"/>
      <c r="Z26" s="444"/>
      <c r="AA26" s="444"/>
      <c r="AB26" s="444"/>
      <c r="AC26" s="444"/>
      <c r="AD26" s="444"/>
    </row>
    <row r="27" spans="3:30">
      <c r="D27" s="42"/>
      <c r="E27" s="42"/>
      <c r="F27" s="42"/>
      <c r="H27" s="446" t="e">
        <f>Options!#REF!</f>
        <v>#REF!</v>
      </c>
      <c r="I27" s="448" t="e">
        <f>Options!#REF!</f>
        <v>#REF!</v>
      </c>
      <c r="J27" s="447" t="e">
        <f>Options!#REF!</f>
        <v>#REF!</v>
      </c>
      <c r="K27" s="447" t="e">
        <f>Options!#REF!</f>
        <v>#REF!</v>
      </c>
      <c r="L27" s="447" t="e">
        <f>Options!#REF!</f>
        <v>#REF!</v>
      </c>
      <c r="M27" s="441"/>
      <c r="N27" s="441" t="s">
        <v>1</v>
      </c>
      <c r="O27" s="441">
        <v>37</v>
      </c>
      <c r="P27" s="441">
        <v>32.5</v>
      </c>
      <c r="Q27" s="441">
        <v>32.5</v>
      </c>
      <c r="R27" s="441">
        <v>32.5</v>
      </c>
      <c r="S27" s="441">
        <v>32.5</v>
      </c>
      <c r="T27" s="441">
        <v>32.5</v>
      </c>
      <c r="U27" s="441"/>
      <c r="V27" s="444">
        <v>37.5</v>
      </c>
      <c r="W27" s="444">
        <v>33.200000000000003</v>
      </c>
      <c r="X27" s="444">
        <v>40.299999999999997</v>
      </c>
      <c r="Y27" s="444">
        <v>36.700000000000003</v>
      </c>
      <c r="Z27" s="444">
        <v>32</v>
      </c>
      <c r="AA27" s="444">
        <v>30</v>
      </c>
      <c r="AB27" s="444">
        <v>37.1</v>
      </c>
      <c r="AC27" s="444">
        <v>37.4</v>
      </c>
      <c r="AD27" s="444">
        <v>36.799999999999997</v>
      </c>
    </row>
    <row r="28" spans="3:30">
      <c r="D28" s="42"/>
      <c r="E28" s="42"/>
      <c r="F28" s="42"/>
      <c r="H28" s="441"/>
      <c r="I28" s="443"/>
      <c r="J28" s="442"/>
      <c r="K28" s="442"/>
      <c r="L28" s="442"/>
      <c r="M28" s="441"/>
      <c r="N28" s="441" t="s">
        <v>220</v>
      </c>
      <c r="O28" s="441">
        <v>48</v>
      </c>
      <c r="P28" s="441">
        <v>75</v>
      </c>
      <c r="Q28" s="441">
        <v>62</v>
      </c>
      <c r="R28" s="441">
        <v>48</v>
      </c>
      <c r="S28" s="441">
        <v>31</v>
      </c>
      <c r="T28" s="441">
        <v>21</v>
      </c>
      <c r="U28" s="441"/>
      <c r="V28" s="449"/>
      <c r="W28" s="449">
        <f>W27-V27</f>
        <v>-4.2999999999999972</v>
      </c>
      <c r="X28" s="449"/>
      <c r="Y28" s="449">
        <f>Y27-X27</f>
        <v>-3.5999999999999943</v>
      </c>
      <c r="Z28" s="449"/>
      <c r="AA28" s="449">
        <f>AA27-Z27</f>
        <v>-2</v>
      </c>
      <c r="AB28" s="449"/>
      <c r="AC28" s="449">
        <f>AC27-AB27</f>
        <v>0.29999999999999716</v>
      </c>
      <c r="AD28" s="449"/>
    </row>
    <row r="29" spans="3:30">
      <c r="D29" s="42"/>
      <c r="E29" s="42"/>
      <c r="F29" s="42"/>
      <c r="H29" s="441"/>
      <c r="I29" s="443"/>
      <c r="J29" s="442"/>
      <c r="K29" s="442"/>
      <c r="L29" s="442"/>
      <c r="M29" s="441"/>
      <c r="N29" s="441" t="s">
        <v>5</v>
      </c>
      <c r="O29" s="441">
        <v>40</v>
      </c>
      <c r="P29" s="441">
        <v>82.9</v>
      </c>
      <c r="Q29" s="441">
        <v>55</v>
      </c>
      <c r="R29" s="441">
        <v>34</v>
      </c>
      <c r="S29" s="441">
        <v>18</v>
      </c>
      <c r="T29" s="441">
        <v>10</v>
      </c>
      <c r="U29" s="441"/>
      <c r="V29" s="444"/>
      <c r="W29" s="444"/>
      <c r="X29" s="444"/>
      <c r="Y29" s="444"/>
      <c r="Z29" s="444"/>
      <c r="AA29" s="444"/>
      <c r="AB29" s="444"/>
      <c r="AC29" s="444"/>
      <c r="AD29" s="444"/>
    </row>
    <row r="30" spans="3:30">
      <c r="D30" s="42"/>
      <c r="E30" s="42"/>
      <c r="F30" s="42"/>
      <c r="H30" s="441"/>
      <c r="I30" s="443"/>
      <c r="J30" s="442"/>
      <c r="K30" s="442"/>
      <c r="L30" s="442"/>
      <c r="M30" s="441"/>
      <c r="N30" s="441" t="s">
        <v>103</v>
      </c>
      <c r="O30" s="441"/>
      <c r="P30" s="445">
        <f>P29/$O29-1</f>
        <v>1.0725000000000002</v>
      </c>
      <c r="Q30" s="445">
        <f>Q29/$O29-1</f>
        <v>0.375</v>
      </c>
      <c r="R30" s="445">
        <f>R29/$O29-1</f>
        <v>-0.15000000000000002</v>
      </c>
      <c r="S30" s="445">
        <f>S29/$O29-1</f>
        <v>-0.55000000000000004</v>
      </c>
      <c r="T30" s="445">
        <f>T29/$O29-1</f>
        <v>-0.75</v>
      </c>
      <c r="U30" s="441"/>
      <c r="V30" s="444"/>
      <c r="W30" s="444"/>
      <c r="X30" s="444"/>
      <c r="Y30" s="444"/>
      <c r="Z30" s="444"/>
      <c r="AA30" s="444"/>
      <c r="AB30" s="444"/>
      <c r="AC30" s="444"/>
      <c r="AD30" s="444"/>
    </row>
    <row r="31" spans="3:30">
      <c r="D31" s="42"/>
      <c r="E31" s="42"/>
      <c r="F31" s="42"/>
      <c r="H31" s="441"/>
      <c r="I31" s="443"/>
      <c r="J31" s="442"/>
      <c r="K31" s="442"/>
      <c r="L31" s="442"/>
      <c r="M31" s="441"/>
      <c r="N31" s="441" t="s">
        <v>2320</v>
      </c>
      <c r="O31" s="441"/>
      <c r="P31" s="443" t="e">
        <f>$I$27*(1+P30)</f>
        <v>#REF!</v>
      </c>
      <c r="Q31" s="443" t="e">
        <f>$I$27*(1+Q30)</f>
        <v>#REF!</v>
      </c>
      <c r="R31" s="443" t="e">
        <f>$I$27*(1+R30)</f>
        <v>#REF!</v>
      </c>
      <c r="S31" s="443" t="e">
        <f>$I$27*(1+S30)</f>
        <v>#REF!</v>
      </c>
      <c r="T31" s="443" t="e">
        <f>$I$27*(1+T30)</f>
        <v>#REF!</v>
      </c>
      <c r="U31" s="441"/>
      <c r="V31" s="444"/>
      <c r="W31" s="444"/>
      <c r="X31" s="444"/>
      <c r="Y31" s="444"/>
      <c r="Z31" s="444"/>
      <c r="AA31" s="444"/>
      <c r="AB31" s="444"/>
      <c r="AC31" s="444"/>
      <c r="AD31" s="444"/>
    </row>
    <row r="32" spans="3:30">
      <c r="D32" s="42"/>
      <c r="E32" s="42"/>
      <c r="F32" s="42"/>
      <c r="H32" s="441"/>
      <c r="I32" s="443"/>
      <c r="J32" s="442"/>
      <c r="K32" s="442"/>
      <c r="L32" s="442"/>
      <c r="M32" s="441"/>
      <c r="N32" s="441" t="s">
        <v>2397</v>
      </c>
      <c r="O32" s="441"/>
      <c r="P32" s="443" t="e">
        <f>P31-$I$27</f>
        <v>#REF!</v>
      </c>
      <c r="Q32" s="443" t="e">
        <f>Q31-$I$27</f>
        <v>#REF!</v>
      </c>
      <c r="R32" s="443" t="e">
        <f>R31-$I$27</f>
        <v>#REF!</v>
      </c>
      <c r="S32" s="443" t="e">
        <f>S31-$I$27</f>
        <v>#REF!</v>
      </c>
      <c r="T32" s="443" t="e">
        <f>T31-$I$27</f>
        <v>#REF!</v>
      </c>
      <c r="U32" s="441"/>
      <c r="V32" s="444"/>
      <c r="W32" s="444"/>
      <c r="X32" s="444"/>
      <c r="Y32" s="444"/>
      <c r="Z32" s="444"/>
      <c r="AA32" s="444"/>
      <c r="AB32" s="444"/>
      <c r="AC32" s="444"/>
      <c r="AD32" s="444"/>
    </row>
    <row r="33" spans="3:30" ht="15.75" thickBot="1">
      <c r="D33" s="42"/>
      <c r="E33" s="42"/>
      <c r="F33" s="42"/>
      <c r="H33" s="441"/>
      <c r="I33" s="443"/>
      <c r="J33" s="442"/>
      <c r="K33" s="442"/>
      <c r="L33" s="442"/>
      <c r="M33" s="441"/>
      <c r="N33" s="441"/>
      <c r="O33" s="441"/>
      <c r="P33" s="441"/>
      <c r="Q33" s="441"/>
      <c r="R33" s="441"/>
      <c r="S33" s="441"/>
      <c r="T33" s="441"/>
      <c r="U33" s="441"/>
      <c r="V33" s="444"/>
      <c r="W33" s="444"/>
      <c r="X33" s="444"/>
      <c r="Y33" s="444"/>
      <c r="Z33" s="444"/>
      <c r="AA33" s="444"/>
      <c r="AB33" s="444"/>
      <c r="AC33" s="444"/>
      <c r="AD33" s="444"/>
    </row>
    <row r="34" spans="3:30" ht="15.75" thickBot="1">
      <c r="D34" s="42"/>
      <c r="E34" s="42"/>
      <c r="F34" s="42"/>
      <c r="H34" s="451" t="s">
        <v>220</v>
      </c>
      <c r="I34" s="452" t="e">
        <f>K27*10000</f>
        <v>#REF!</v>
      </c>
      <c r="J34" s="442"/>
      <c r="K34" s="442"/>
      <c r="L34" s="442"/>
      <c r="M34" s="441"/>
      <c r="N34" s="441"/>
      <c r="O34" s="441"/>
      <c r="P34" s="450" t="e">
        <f>P32/$I$34</f>
        <v>#REF!</v>
      </c>
      <c r="Q34" s="450" t="e">
        <f>Q32/$I$34</f>
        <v>#REF!</v>
      </c>
      <c r="R34" s="450" t="e">
        <f>R32/$I$34</f>
        <v>#REF!</v>
      </c>
      <c r="S34" s="450" t="e">
        <f>S32/$I$34</f>
        <v>#REF!</v>
      </c>
      <c r="T34" s="450" t="e">
        <f>T32/$I$34</f>
        <v>#REF!</v>
      </c>
      <c r="U34" s="441"/>
      <c r="V34" s="444"/>
      <c r="W34" s="444"/>
      <c r="X34" s="444"/>
      <c r="Y34" s="444"/>
      <c r="Z34" s="444"/>
      <c r="AA34" s="444"/>
      <c r="AB34" s="444"/>
      <c r="AC34" s="444"/>
      <c r="AD34" s="444"/>
    </row>
    <row r="35" spans="3:30" ht="15.75" thickBot="1">
      <c r="D35" s="42"/>
      <c r="E35" s="42"/>
      <c r="F35" s="42"/>
      <c r="H35" s="441"/>
      <c r="I35" s="441"/>
      <c r="J35" s="441"/>
      <c r="K35" s="441"/>
      <c r="L35" s="441"/>
      <c r="M35" s="441"/>
      <c r="N35" s="441"/>
      <c r="O35" s="441"/>
      <c r="P35" s="441"/>
      <c r="Q35" s="441"/>
      <c r="R35" s="441"/>
      <c r="S35" s="441"/>
      <c r="T35" s="441"/>
      <c r="U35" s="441"/>
      <c r="V35" s="444"/>
      <c r="W35" s="444"/>
      <c r="X35" s="444"/>
      <c r="Y35" s="444"/>
      <c r="Z35" s="444"/>
      <c r="AA35" s="444"/>
      <c r="AB35" s="444"/>
      <c r="AC35" s="444"/>
      <c r="AD35" s="444"/>
    </row>
    <row r="36" spans="3:30" s="6" customFormat="1" ht="15.75" thickBot="1">
      <c r="D36" s="438"/>
      <c r="E36" s="438"/>
      <c r="F36" s="438"/>
      <c r="H36" s="446"/>
      <c r="I36" s="448"/>
      <c r="J36" s="447"/>
      <c r="K36" s="447"/>
      <c r="L36" s="447"/>
      <c r="M36" s="446"/>
      <c r="N36" s="455" t="s">
        <v>2399</v>
      </c>
      <c r="O36" s="456"/>
      <c r="P36" s="457" t="e">
        <f>P22+P32</f>
        <v>#REF!</v>
      </c>
      <c r="Q36" s="457" t="e">
        <f>Q22+Q32</f>
        <v>#REF!</v>
      </c>
      <c r="R36" s="457" t="e">
        <f>R22+R32</f>
        <v>#REF!</v>
      </c>
      <c r="S36" s="457" t="e">
        <f>S22+S32</f>
        <v>#REF!</v>
      </c>
      <c r="T36" s="458" t="e">
        <f>T22+T32</f>
        <v>#REF!</v>
      </c>
      <c r="U36" s="446"/>
      <c r="V36" s="449"/>
      <c r="W36" s="449"/>
      <c r="X36" s="449"/>
      <c r="Y36" s="449"/>
      <c r="Z36" s="449"/>
      <c r="AA36" s="449"/>
      <c r="AB36" s="449"/>
      <c r="AC36" s="449"/>
      <c r="AD36" s="449"/>
    </row>
    <row r="37" spans="3:30">
      <c r="D37" s="42"/>
      <c r="E37" s="42"/>
      <c r="F37" s="42"/>
      <c r="H37" s="441"/>
      <c r="I37" s="448"/>
      <c r="J37" s="447"/>
      <c r="K37" s="447"/>
      <c r="L37" s="447"/>
      <c r="M37" s="441"/>
      <c r="N37" s="441"/>
      <c r="O37" s="441"/>
      <c r="P37" s="441"/>
      <c r="Q37" s="441"/>
      <c r="R37" s="441"/>
      <c r="S37" s="441"/>
      <c r="T37" s="441"/>
      <c r="U37" s="441"/>
      <c r="V37" s="444"/>
      <c r="W37" s="444"/>
      <c r="X37" s="444"/>
      <c r="Y37" s="444"/>
      <c r="Z37" s="444"/>
      <c r="AA37" s="444"/>
      <c r="AB37" s="444"/>
      <c r="AC37" s="444"/>
      <c r="AD37" s="444"/>
    </row>
    <row r="38" spans="3:30">
      <c r="D38" s="42"/>
      <c r="E38" s="42"/>
      <c r="F38" s="42"/>
      <c r="I38" s="270"/>
      <c r="J38" s="42"/>
      <c r="K38" s="42"/>
      <c r="L38" s="42"/>
    </row>
    <row r="39" spans="3:30">
      <c r="D39" s="42"/>
      <c r="E39" s="42"/>
      <c r="F39" s="42"/>
      <c r="H39" s="58"/>
      <c r="I39" s="331"/>
      <c r="J39" s="459"/>
      <c r="K39" s="459"/>
      <c r="L39" s="459"/>
      <c r="M39" s="58"/>
      <c r="N39" s="58"/>
      <c r="O39" s="166">
        <v>481</v>
      </c>
      <c r="P39" s="166">
        <v>515</v>
      </c>
      <c r="Q39" s="166">
        <v>505</v>
      </c>
      <c r="R39" s="166">
        <v>481</v>
      </c>
      <c r="S39" s="166">
        <v>455</v>
      </c>
      <c r="T39" s="166">
        <v>445</v>
      </c>
      <c r="U39" s="58"/>
      <c r="V39" s="419"/>
      <c r="W39" s="419"/>
      <c r="X39" s="419"/>
      <c r="Y39" s="419"/>
      <c r="Z39" s="419"/>
      <c r="AA39" s="419"/>
      <c r="AB39" s="419"/>
      <c r="AC39" s="419"/>
      <c r="AD39" s="419"/>
    </row>
    <row r="40" spans="3:30">
      <c r="D40" s="42"/>
      <c r="E40" s="42"/>
      <c r="F40" s="42"/>
      <c r="H40" s="58"/>
      <c r="I40" s="331"/>
      <c r="J40" s="459"/>
      <c r="K40" s="459"/>
      <c r="L40" s="459"/>
      <c r="M40" s="58"/>
      <c r="N40" s="58"/>
      <c r="O40" s="92"/>
      <c r="P40" s="460">
        <f>P39/$O39-1</f>
        <v>7.0686070686070579E-2</v>
      </c>
      <c r="Q40" s="460">
        <f>Q39/$O39-1</f>
        <v>4.9896049896049899E-2</v>
      </c>
      <c r="R40" s="460">
        <f>R39/$O39-1</f>
        <v>0</v>
      </c>
      <c r="S40" s="460">
        <f>S39/$O39-1</f>
        <v>-5.4054054054054057E-2</v>
      </c>
      <c r="T40" s="460">
        <f>T39/$O39-1</f>
        <v>-7.4844074844074848E-2</v>
      </c>
      <c r="U40" s="58"/>
      <c r="V40" s="419"/>
      <c r="W40" s="419"/>
      <c r="X40" s="419"/>
      <c r="Y40" s="419"/>
      <c r="Z40" s="419"/>
      <c r="AA40" s="419"/>
      <c r="AB40" s="419"/>
      <c r="AC40" s="419"/>
      <c r="AD40" s="419"/>
    </row>
    <row r="41" spans="3:30">
      <c r="D41" s="42"/>
      <c r="E41" s="42"/>
      <c r="F41" s="42"/>
      <c r="H41" s="58"/>
      <c r="I41" s="331"/>
      <c r="J41" s="459"/>
      <c r="K41" s="459"/>
      <c r="L41" s="459" t="e">
        <f>L42*T43/100</f>
        <v>#REF!</v>
      </c>
      <c r="M41" s="58"/>
      <c r="N41" s="58"/>
      <c r="O41" s="58"/>
      <c r="P41" s="58"/>
      <c r="Q41" s="58"/>
      <c r="R41" s="58"/>
      <c r="S41" s="58"/>
      <c r="T41" s="58"/>
      <c r="U41" s="58"/>
      <c r="V41" s="419"/>
      <c r="W41" s="419"/>
      <c r="X41" s="419"/>
      <c r="Y41" s="419"/>
      <c r="Z41" s="419"/>
      <c r="AA41" s="419"/>
      <c r="AB41" s="419"/>
      <c r="AC41" s="419"/>
      <c r="AD41" s="419"/>
    </row>
    <row r="42" spans="3:30">
      <c r="D42" s="42"/>
      <c r="E42" s="42"/>
      <c r="F42" s="42"/>
      <c r="H42" s="58" t="e">
        <f>Options!#REF!</f>
        <v>#REF!</v>
      </c>
      <c r="I42" s="331" t="e">
        <f>Options!#REF!</f>
        <v>#REF!</v>
      </c>
      <c r="J42" s="459" t="e">
        <f>Options!#REF!</f>
        <v>#REF!</v>
      </c>
      <c r="K42" s="459" t="e">
        <f>Options!#REF!</f>
        <v>#REF!</v>
      </c>
      <c r="L42" s="459" t="e">
        <f>Options!#REF!</f>
        <v>#REF!</v>
      </c>
      <c r="M42" s="58"/>
      <c r="N42" s="58" t="s">
        <v>1</v>
      </c>
      <c r="O42" s="58">
        <v>28</v>
      </c>
      <c r="P42" s="58">
        <v>25</v>
      </c>
      <c r="Q42" s="58">
        <v>25</v>
      </c>
      <c r="R42" s="58">
        <v>25</v>
      </c>
      <c r="S42" s="58">
        <v>25</v>
      </c>
      <c r="T42" s="58">
        <v>25</v>
      </c>
      <c r="U42" s="58"/>
      <c r="V42" s="419">
        <v>23.2</v>
      </c>
      <c r="W42" s="419">
        <v>22.9</v>
      </c>
      <c r="X42" s="419">
        <v>27.1</v>
      </c>
      <c r="Y42" s="419">
        <v>24.8</v>
      </c>
      <c r="Z42" s="419">
        <v>21.5</v>
      </c>
      <c r="AA42" s="419">
        <v>22</v>
      </c>
      <c r="AB42" s="419">
        <v>26.4</v>
      </c>
      <c r="AC42" s="419">
        <v>26.5</v>
      </c>
      <c r="AD42" s="419">
        <v>27.5</v>
      </c>
    </row>
    <row r="43" spans="3:30">
      <c r="D43" s="42"/>
      <c r="E43" s="42"/>
      <c r="F43" s="42"/>
      <c r="H43" s="58"/>
      <c r="I43" s="461"/>
      <c r="J43" s="462"/>
      <c r="K43" s="462"/>
      <c r="L43" s="462"/>
      <c r="M43" s="58"/>
      <c r="N43" s="58" t="s">
        <v>220</v>
      </c>
      <c r="O43" s="58">
        <v>48</v>
      </c>
      <c r="P43" s="58">
        <v>63</v>
      </c>
      <c r="Q43" s="58">
        <v>59</v>
      </c>
      <c r="R43" s="58">
        <v>47</v>
      </c>
      <c r="S43" s="58">
        <v>35</v>
      </c>
      <c r="T43" s="58">
        <v>30</v>
      </c>
      <c r="U43" s="58"/>
      <c r="V43" s="463"/>
      <c r="W43" s="463">
        <f>W42-V42</f>
        <v>-0.30000000000000071</v>
      </c>
      <c r="X43" s="463"/>
      <c r="Y43" s="463">
        <f>Y42-X42</f>
        <v>-2.3000000000000007</v>
      </c>
      <c r="Z43" s="463"/>
      <c r="AA43" s="463">
        <f>AA42-Z42</f>
        <v>0.5</v>
      </c>
      <c r="AB43" s="463"/>
      <c r="AC43" s="463">
        <f>AC42-AB42</f>
        <v>0.10000000000000142</v>
      </c>
      <c r="AD43" s="463"/>
    </row>
    <row r="44" spans="3:30">
      <c r="D44" s="42"/>
      <c r="E44" s="42"/>
      <c r="F44" s="42"/>
      <c r="H44" s="58"/>
      <c r="I44" s="331"/>
      <c r="J44" s="459"/>
      <c r="K44" s="459"/>
      <c r="L44" s="459"/>
      <c r="M44" s="58"/>
      <c r="N44" s="58" t="s">
        <v>5</v>
      </c>
      <c r="O44" s="58">
        <v>31</v>
      </c>
      <c r="P44" s="58">
        <v>46</v>
      </c>
      <c r="Q44" s="58">
        <v>40</v>
      </c>
      <c r="R44" s="58">
        <v>27</v>
      </c>
      <c r="S44" s="58">
        <v>16</v>
      </c>
      <c r="T44" s="58">
        <v>13</v>
      </c>
      <c r="U44" s="58"/>
      <c r="V44" s="419"/>
      <c r="W44" s="419"/>
      <c r="X44" s="419"/>
      <c r="Y44" s="419"/>
      <c r="Z44" s="419"/>
      <c r="AA44" s="419"/>
      <c r="AB44" s="419"/>
      <c r="AC44" s="419"/>
      <c r="AD44" s="419"/>
    </row>
    <row r="45" spans="3:30">
      <c r="D45" s="42"/>
      <c r="E45" s="42"/>
      <c r="F45" s="42"/>
      <c r="H45" s="58"/>
      <c r="I45" s="331"/>
      <c r="J45" s="459"/>
      <c r="K45" s="459"/>
      <c r="L45" s="459"/>
      <c r="M45" s="58"/>
      <c r="N45" s="58" t="s">
        <v>103</v>
      </c>
      <c r="O45" s="58"/>
      <c r="P45" s="418">
        <f>P44/$O44-1</f>
        <v>0.4838709677419355</v>
      </c>
      <c r="Q45" s="418">
        <f>Q44/$O44-1</f>
        <v>0.29032258064516125</v>
      </c>
      <c r="R45" s="418">
        <f>R44/$O44-1</f>
        <v>-0.12903225806451613</v>
      </c>
      <c r="S45" s="418">
        <f>S44/$O44-1</f>
        <v>-0.4838709677419355</v>
      </c>
      <c r="T45" s="418">
        <f>T44/$O44-1</f>
        <v>-0.58064516129032251</v>
      </c>
      <c r="U45" s="58"/>
      <c r="V45" s="419"/>
      <c r="W45" s="419"/>
      <c r="X45" s="419"/>
      <c r="Y45" s="419"/>
      <c r="Z45" s="419"/>
      <c r="AA45" s="419"/>
      <c r="AB45" s="419"/>
      <c r="AC45" s="419"/>
      <c r="AD45" s="419"/>
    </row>
    <row r="46" spans="3:30">
      <c r="C46" t="s">
        <v>79</v>
      </c>
      <c r="D46" s="42"/>
      <c r="E46" s="42"/>
      <c r="F46" s="42"/>
      <c r="H46" s="58"/>
      <c r="I46" s="58"/>
      <c r="J46" s="58"/>
      <c r="K46" s="58"/>
      <c r="L46" s="58"/>
      <c r="M46" s="58"/>
      <c r="N46" s="58" t="s">
        <v>2320</v>
      </c>
      <c r="O46" s="58"/>
      <c r="P46" s="331" t="e">
        <f>$I$42*(1+P45)</f>
        <v>#REF!</v>
      </c>
      <c r="Q46" s="331" t="e">
        <f>$I$42*(1+Q45)</f>
        <v>#REF!</v>
      </c>
      <c r="R46" s="331" t="e">
        <f>$I$42*(1+R45)</f>
        <v>#REF!</v>
      </c>
      <c r="S46" s="331" t="e">
        <f>$I$42*(1+S45)</f>
        <v>#REF!</v>
      </c>
      <c r="T46" s="331" t="e">
        <f>$I$42*(1+T45)</f>
        <v>#REF!</v>
      </c>
      <c r="U46" s="58"/>
      <c r="V46" s="419"/>
      <c r="W46" s="419"/>
      <c r="X46" s="419"/>
      <c r="Y46" s="419"/>
      <c r="Z46" s="419"/>
      <c r="AA46" s="419"/>
      <c r="AB46" s="419"/>
      <c r="AC46" s="419"/>
      <c r="AD46" s="419"/>
    </row>
    <row r="47" spans="3:30">
      <c r="D47" s="42"/>
      <c r="E47" s="42"/>
      <c r="F47" s="42"/>
      <c r="H47" s="58"/>
      <c r="I47" s="58"/>
      <c r="J47" s="58"/>
      <c r="K47" s="58"/>
      <c r="L47" s="58"/>
      <c r="M47" s="58"/>
      <c r="N47" s="58" t="s">
        <v>2397</v>
      </c>
      <c r="O47" s="58"/>
      <c r="P47" s="331" t="e">
        <f>P46-$I$42</f>
        <v>#REF!</v>
      </c>
      <c r="Q47" s="331" t="e">
        <f>Q46-$I$42</f>
        <v>#REF!</v>
      </c>
      <c r="R47" s="331" t="e">
        <f>R46-$I$42</f>
        <v>#REF!</v>
      </c>
      <c r="S47" s="331" t="e">
        <f>S46-$I$42</f>
        <v>#REF!</v>
      </c>
      <c r="T47" s="331" t="e">
        <f>T46-$I$42</f>
        <v>#REF!</v>
      </c>
      <c r="U47" s="58"/>
      <c r="V47" s="419"/>
      <c r="W47" s="419"/>
      <c r="X47" s="419"/>
      <c r="Y47" s="419"/>
      <c r="Z47" s="419"/>
      <c r="AA47" s="419"/>
      <c r="AB47" s="419"/>
      <c r="AC47" s="419"/>
      <c r="AD47" s="419"/>
    </row>
    <row r="48" spans="3:30"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463"/>
      <c r="W48" s="463"/>
      <c r="X48" s="463"/>
      <c r="Y48" s="463"/>
      <c r="Z48" s="463"/>
      <c r="AA48" s="463"/>
      <c r="AB48" s="463"/>
      <c r="AC48" s="463"/>
      <c r="AD48" s="463"/>
    </row>
    <row r="49" spans="8:30">
      <c r="H49" s="58"/>
      <c r="I49" s="58"/>
      <c r="J49" s="58"/>
      <c r="K49" s="58"/>
      <c r="L49" s="58"/>
      <c r="M49" s="58"/>
      <c r="N49" s="58"/>
      <c r="O49" s="58"/>
      <c r="P49" s="417" t="e">
        <f>P47/$I$42</f>
        <v>#REF!</v>
      </c>
      <c r="Q49" s="417" t="e">
        <f>Q47/$I$42</f>
        <v>#REF!</v>
      </c>
      <c r="R49" s="417" t="e">
        <f>R47/$I$42</f>
        <v>#REF!</v>
      </c>
      <c r="S49" s="417" t="e">
        <f>S47/$I$42</f>
        <v>#REF!</v>
      </c>
      <c r="T49" s="417" t="e">
        <f>T47/$I$42</f>
        <v>#REF!</v>
      </c>
      <c r="U49" s="58"/>
      <c r="V49" s="419"/>
      <c r="W49" s="419"/>
      <c r="X49" s="419"/>
      <c r="Y49" s="419"/>
      <c r="Z49" s="419"/>
      <c r="AA49" s="419"/>
      <c r="AB49" s="419"/>
      <c r="AC49" s="419"/>
      <c r="AD49" s="419"/>
    </row>
    <row r="50" spans="8:30" ht="15.75" thickBot="1"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419"/>
      <c r="W50" s="419"/>
      <c r="X50" s="419"/>
      <c r="Y50" s="419"/>
      <c r="Z50" s="419"/>
      <c r="AA50" s="419"/>
      <c r="AB50" s="419"/>
      <c r="AC50" s="419"/>
      <c r="AD50" s="419"/>
    </row>
    <row r="51" spans="8:30" ht="15.75" thickBot="1">
      <c r="H51" s="58"/>
      <c r="I51" s="58"/>
      <c r="J51" s="58"/>
      <c r="K51" s="58"/>
      <c r="L51" s="58"/>
      <c r="M51" s="58"/>
      <c r="N51" s="464" t="s">
        <v>2399</v>
      </c>
      <c r="O51" s="465"/>
      <c r="P51" s="466" t="e">
        <f>P47</f>
        <v>#REF!</v>
      </c>
      <c r="Q51" s="466" t="e">
        <f>Q47</f>
        <v>#REF!</v>
      </c>
      <c r="R51" s="466" t="e">
        <f>R47</f>
        <v>#REF!</v>
      </c>
      <c r="S51" s="466" t="e">
        <f>S47</f>
        <v>#REF!</v>
      </c>
      <c r="T51" s="466" t="e">
        <f>T47</f>
        <v>#REF!</v>
      </c>
      <c r="U51" s="58"/>
      <c r="V51" s="419"/>
      <c r="W51" s="419"/>
      <c r="X51" s="419"/>
      <c r="Y51" s="419"/>
      <c r="Z51" s="419"/>
      <c r="AA51" s="419"/>
      <c r="AB51" s="419"/>
      <c r="AC51" s="419"/>
      <c r="AD51" s="419"/>
    </row>
    <row r="57" spans="8:30">
      <c r="I57" t="s">
        <v>2449</v>
      </c>
    </row>
    <row r="58" spans="8:30">
      <c r="H58" t="s">
        <v>2448</v>
      </c>
      <c r="I58" s="42">
        <f>25000/25673-1</f>
        <v>-2.6214310754489101E-2</v>
      </c>
    </row>
    <row r="59" spans="8:30">
      <c r="H59" s="42">
        <v>2.5000000000000001E-2</v>
      </c>
      <c r="I59" s="270">
        <f>H59*$I$58*10000</f>
        <v>-6.5535776886222754</v>
      </c>
    </row>
    <row r="60" spans="8:30">
      <c r="H60" s="42">
        <v>0.02</v>
      </c>
      <c r="I60" s="270">
        <f>H60*$I$58*10000</f>
        <v>-5.2428621508978202</v>
      </c>
    </row>
    <row r="61" spans="8:30">
      <c r="H61" s="42">
        <v>1.4999999999999999E-2</v>
      </c>
      <c r="I61" s="270">
        <f>H61*$I$58*10000</f>
        <v>-3.9321466131733649</v>
      </c>
    </row>
    <row r="63" spans="8:30">
      <c r="I63" s="270"/>
      <c r="J63" s="42"/>
      <c r="K63" s="42"/>
      <c r="L63" s="42"/>
    </row>
    <row r="64" spans="8:30">
      <c r="I64" t="s">
        <v>2449</v>
      </c>
      <c r="J64" s="42"/>
      <c r="K64" s="42"/>
      <c r="L64" s="42"/>
    </row>
    <row r="65" spans="8:9">
      <c r="H65" t="s">
        <v>2448</v>
      </c>
      <c r="I65" s="42">
        <v>0.01</v>
      </c>
    </row>
    <row r="66" spans="8:9">
      <c r="H66" s="42">
        <v>-0.01</v>
      </c>
      <c r="I66" s="270">
        <f>H66*$I$65*10000</f>
        <v>-1</v>
      </c>
    </row>
    <row r="67" spans="8:9">
      <c r="H67" s="42"/>
      <c r="I67" s="270"/>
    </row>
    <row r="68" spans="8:9">
      <c r="H68" s="42"/>
      <c r="I68" s="270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EC10D-1B78-44B9-9C10-24EA408886CF}">
  <dimension ref="D3:O15"/>
  <sheetViews>
    <sheetView workbookViewId="0">
      <selection activeCell="S11" sqref="S11"/>
    </sheetView>
  </sheetViews>
  <sheetFormatPr defaultRowHeight="15"/>
  <cols>
    <col min="4" max="4" width="22.28515625" customWidth="1"/>
    <col min="5" max="5" width="10.42578125" style="79" bestFit="1" customWidth="1"/>
    <col min="8" max="8" width="2.140625" customWidth="1"/>
    <col min="12" max="12" width="2.28515625" customWidth="1"/>
    <col min="13" max="13" width="6.85546875" bestFit="1" customWidth="1"/>
  </cols>
  <sheetData>
    <row r="3" spans="4:15" s="6" customFormat="1">
      <c r="E3" s="384"/>
      <c r="F3" s="6" t="s">
        <v>1977</v>
      </c>
      <c r="K3" s="6" t="s">
        <v>1978</v>
      </c>
      <c r="M3" s="6" t="s">
        <v>1979</v>
      </c>
    </row>
    <row r="4" spans="4:15">
      <c r="D4" s="6" t="s">
        <v>1966</v>
      </c>
      <c r="E4" s="384" t="s">
        <v>1967</v>
      </c>
      <c r="F4" s="6" t="s">
        <v>1971</v>
      </c>
      <c r="G4" s="6" t="s">
        <v>1972</v>
      </c>
      <c r="H4" s="6"/>
      <c r="I4" s="6" t="s">
        <v>1959</v>
      </c>
      <c r="J4" s="6" t="s">
        <v>1968</v>
      </c>
      <c r="K4" s="6" t="s">
        <v>1972</v>
      </c>
      <c r="L4" s="6"/>
      <c r="M4" s="6" t="s">
        <v>1969</v>
      </c>
    </row>
    <row r="5" spans="4:15">
      <c r="D5" t="s">
        <v>1965</v>
      </c>
      <c r="E5" s="79">
        <v>45960</v>
      </c>
      <c r="F5" s="261">
        <v>140</v>
      </c>
      <c r="G5" s="261" t="s">
        <v>1976</v>
      </c>
      <c r="H5" s="261"/>
      <c r="I5" s="261">
        <v>44</v>
      </c>
      <c r="J5" s="261">
        <v>12.5</v>
      </c>
      <c r="K5" s="261">
        <f>I5-J5</f>
        <v>31.5</v>
      </c>
      <c r="L5" s="261"/>
      <c r="M5" s="274">
        <f>F5/K5</f>
        <v>4.4444444444444446</v>
      </c>
      <c r="N5" s="261"/>
      <c r="O5" s="261"/>
    </row>
    <row r="6" spans="4:15">
      <c r="D6" t="s">
        <v>1975</v>
      </c>
      <c r="E6" s="79">
        <v>45960</v>
      </c>
      <c r="F6" s="261">
        <v>65</v>
      </c>
      <c r="G6" s="261">
        <v>32</v>
      </c>
      <c r="H6" s="261"/>
      <c r="I6" s="261">
        <v>26</v>
      </c>
      <c r="J6" s="261">
        <v>5</v>
      </c>
      <c r="K6" s="261">
        <f>I6-J6</f>
        <v>21</v>
      </c>
      <c r="L6" s="261"/>
      <c r="M6" s="274">
        <f>F6/K6</f>
        <v>3.0952380952380953</v>
      </c>
      <c r="N6" s="261"/>
      <c r="O6" s="261"/>
    </row>
    <row r="7" spans="4:15">
      <c r="F7" s="261"/>
      <c r="G7" s="261"/>
      <c r="H7" s="261"/>
      <c r="I7" s="261"/>
      <c r="J7" s="261"/>
      <c r="K7" s="261"/>
      <c r="L7" s="261"/>
      <c r="M7" s="274"/>
      <c r="N7" s="261"/>
      <c r="O7" s="261"/>
    </row>
    <row r="8" spans="4:15">
      <c r="D8" t="s">
        <v>1970</v>
      </c>
      <c r="E8" s="79">
        <v>45959</v>
      </c>
      <c r="F8" s="261">
        <v>95</v>
      </c>
      <c r="G8" s="261">
        <v>44</v>
      </c>
      <c r="H8" s="261"/>
      <c r="I8" s="261">
        <v>41</v>
      </c>
      <c r="J8" s="261">
        <v>12.5</v>
      </c>
      <c r="K8" s="261">
        <f>I8-J8</f>
        <v>28.5</v>
      </c>
      <c r="L8" s="261"/>
      <c r="M8" s="274">
        <f>F8/K8</f>
        <v>3.3333333333333335</v>
      </c>
      <c r="N8" s="261"/>
      <c r="O8" s="261"/>
    </row>
    <row r="9" spans="4:15">
      <c r="D9" t="s">
        <v>1973</v>
      </c>
      <c r="E9" s="79">
        <v>45959</v>
      </c>
      <c r="F9" s="261">
        <v>95</v>
      </c>
      <c r="G9" s="261">
        <v>75</v>
      </c>
      <c r="H9" s="261"/>
      <c r="I9" s="261">
        <v>42</v>
      </c>
      <c r="J9" s="261">
        <v>12.5</v>
      </c>
      <c r="K9" s="261">
        <f>I9-J9</f>
        <v>29.5</v>
      </c>
      <c r="L9" s="261"/>
      <c r="M9" s="274">
        <f>F9/K9</f>
        <v>3.2203389830508473</v>
      </c>
      <c r="N9" s="261"/>
      <c r="O9" s="261"/>
    </row>
    <row r="10" spans="4:15">
      <c r="D10" t="s">
        <v>1974</v>
      </c>
      <c r="E10" s="79">
        <v>45959</v>
      </c>
      <c r="F10" s="261">
        <v>72</v>
      </c>
      <c r="G10" s="261">
        <v>30</v>
      </c>
      <c r="H10" s="261"/>
      <c r="I10" s="261">
        <v>30</v>
      </c>
      <c r="J10" s="261">
        <v>7.5</v>
      </c>
      <c r="K10" s="261">
        <f>I10-J10</f>
        <v>22.5</v>
      </c>
      <c r="L10" s="261"/>
      <c r="M10" s="274">
        <f>F10/K10</f>
        <v>3.2</v>
      </c>
      <c r="N10" s="261"/>
      <c r="O10" s="261"/>
    </row>
    <row r="11" spans="4:15">
      <c r="F11" s="261"/>
      <c r="G11" s="261"/>
      <c r="H11" s="261"/>
      <c r="I11" s="261"/>
      <c r="J11" s="261"/>
      <c r="K11" s="261"/>
      <c r="L11" s="261"/>
      <c r="M11" s="274"/>
      <c r="N11" s="261"/>
      <c r="O11" s="261"/>
    </row>
    <row r="12" spans="4:15">
      <c r="F12" s="261"/>
      <c r="G12" s="261"/>
      <c r="H12" s="261"/>
      <c r="I12" s="261"/>
      <c r="J12" s="261"/>
      <c r="K12" s="261"/>
      <c r="L12" s="261"/>
      <c r="M12" s="274"/>
      <c r="N12" s="261"/>
      <c r="O12" s="261"/>
    </row>
    <row r="13" spans="4:15">
      <c r="F13" s="261"/>
      <c r="G13" s="261"/>
      <c r="H13" s="261"/>
      <c r="I13" s="261"/>
      <c r="J13" s="261"/>
      <c r="K13" s="261"/>
      <c r="L13" s="261"/>
      <c r="M13" s="274"/>
      <c r="N13" s="261"/>
      <c r="O13" s="261"/>
    </row>
    <row r="14" spans="4:15">
      <c r="F14" s="261"/>
      <c r="G14" s="261"/>
      <c r="H14" s="261"/>
      <c r="I14" s="261"/>
      <c r="J14" s="261"/>
      <c r="K14" s="261"/>
      <c r="L14" s="261"/>
      <c r="M14" s="274"/>
      <c r="N14" s="261"/>
      <c r="O14" s="261"/>
    </row>
    <row r="15" spans="4:15">
      <c r="F15" s="261"/>
      <c r="G15" s="261"/>
      <c r="H15" s="261"/>
      <c r="I15" s="261"/>
      <c r="J15" s="261"/>
      <c r="K15" s="261"/>
      <c r="L15" s="261"/>
      <c r="M15" s="261"/>
      <c r="N15" s="261"/>
      <c r="O15" s="26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3412E-8215-4EDB-B9B2-639C78438178}">
  <dimension ref="B5:AB10"/>
  <sheetViews>
    <sheetView workbookViewId="0">
      <selection activeCell="X15" sqref="X15"/>
    </sheetView>
  </sheetViews>
  <sheetFormatPr defaultRowHeight="15"/>
  <cols>
    <col min="1" max="1" width="2.28515625" customWidth="1"/>
    <col min="2" max="2" width="4.7109375" customWidth="1"/>
    <col min="6" max="8" width="9.140625" customWidth="1"/>
    <col min="10" max="10" width="4.7109375" customWidth="1"/>
    <col min="19" max="19" width="4.140625" customWidth="1"/>
    <col min="20" max="20" width="4.7109375" customWidth="1"/>
  </cols>
  <sheetData>
    <row r="5" spans="2:28">
      <c r="C5" s="6" t="s">
        <v>81</v>
      </c>
      <c r="F5" s="6"/>
      <c r="K5" s="6" t="s">
        <v>90</v>
      </c>
      <c r="N5" s="6"/>
      <c r="P5" s="6"/>
      <c r="U5" s="6" t="s">
        <v>303</v>
      </c>
      <c r="X5" s="6"/>
      <c r="Z5" s="6"/>
    </row>
    <row r="6" spans="2:28" s="10" customFormat="1" ht="30.75" thickBot="1">
      <c r="B6" s="56"/>
      <c r="C6" s="56"/>
      <c r="D6" s="56" t="s">
        <v>1960</v>
      </c>
      <c r="E6" s="382" t="s">
        <v>1962</v>
      </c>
      <c r="F6" s="56" t="s">
        <v>1961</v>
      </c>
      <c r="G6" s="382" t="s">
        <v>1962</v>
      </c>
      <c r="H6" s="382" t="s">
        <v>1963</v>
      </c>
      <c r="J6" s="56"/>
      <c r="K6" s="56"/>
      <c r="L6" s="56" t="s">
        <v>1960</v>
      </c>
      <c r="M6" s="382" t="s">
        <v>1962</v>
      </c>
      <c r="N6" s="56" t="s">
        <v>1961</v>
      </c>
      <c r="O6" s="382" t="s">
        <v>1962</v>
      </c>
      <c r="P6" s="56" t="s">
        <v>1964</v>
      </c>
      <c r="Q6" s="382" t="s">
        <v>1962</v>
      </c>
      <c r="R6" s="382" t="s">
        <v>1963</v>
      </c>
      <c r="T6" s="56"/>
      <c r="U6" s="56"/>
      <c r="V6" s="56" t="s">
        <v>1960</v>
      </c>
      <c r="W6" s="382" t="s">
        <v>1962</v>
      </c>
      <c r="X6" s="56" t="s">
        <v>1961</v>
      </c>
      <c r="Y6" s="382" t="s">
        <v>1962</v>
      </c>
      <c r="Z6" s="56" t="s">
        <v>1964</v>
      </c>
      <c r="AA6" s="382" t="s">
        <v>1962</v>
      </c>
      <c r="AB6" s="382" t="s">
        <v>1963</v>
      </c>
    </row>
    <row r="7" spans="2:28">
      <c r="B7" t="s">
        <v>1958</v>
      </c>
      <c r="C7" s="380">
        <v>45658</v>
      </c>
      <c r="D7">
        <v>30</v>
      </c>
      <c r="E7" s="381">
        <f>D7/15.9</f>
        <v>1.8867924528301887</v>
      </c>
      <c r="F7">
        <v>45</v>
      </c>
      <c r="G7" s="381">
        <f>F7/15.9</f>
        <v>2.8301886792452828</v>
      </c>
      <c r="H7" s="383">
        <v>1.55</v>
      </c>
      <c r="J7" t="s">
        <v>1958</v>
      </c>
      <c r="K7" s="380">
        <v>45658</v>
      </c>
      <c r="L7">
        <v>31.5</v>
      </c>
      <c r="M7" s="381">
        <f>L7/15.9</f>
        <v>1.9811320754716981</v>
      </c>
      <c r="N7">
        <v>23</v>
      </c>
      <c r="O7" s="381">
        <f>N7/15.9</f>
        <v>1.4465408805031446</v>
      </c>
      <c r="P7">
        <v>43</v>
      </c>
      <c r="Q7" s="381">
        <f>P7/15.9</f>
        <v>2.7044025157232703</v>
      </c>
      <c r="R7" s="383">
        <v>-6.2</v>
      </c>
      <c r="T7" t="s">
        <v>1958</v>
      </c>
      <c r="U7" s="380">
        <v>45658</v>
      </c>
      <c r="V7">
        <v>31.5</v>
      </c>
      <c r="W7" s="381">
        <f>V7/15.9</f>
        <v>1.9811320754716981</v>
      </c>
      <c r="X7">
        <v>23</v>
      </c>
      <c r="Y7" s="381">
        <f>X7/15.9</f>
        <v>1.4465408805031446</v>
      </c>
      <c r="Z7">
        <v>43</v>
      </c>
      <c r="AA7" s="381">
        <f>Z7/15.9</f>
        <v>2.7044025157232703</v>
      </c>
      <c r="AB7" s="383">
        <v>-6.2</v>
      </c>
    </row>
    <row r="8" spans="2:28">
      <c r="B8" t="s">
        <v>1955</v>
      </c>
      <c r="C8" s="380">
        <v>45748</v>
      </c>
      <c r="D8">
        <v>67</v>
      </c>
      <c r="E8" s="381">
        <f>D8/15.9</f>
        <v>4.2138364779874209</v>
      </c>
      <c r="F8">
        <v>47</v>
      </c>
      <c r="G8" s="381">
        <f>F8/15.9</f>
        <v>2.9559748427672954</v>
      </c>
      <c r="H8" s="383">
        <v>4.2300000000000004</v>
      </c>
      <c r="J8" t="s">
        <v>1955</v>
      </c>
      <c r="K8" s="380">
        <v>45748</v>
      </c>
      <c r="L8">
        <v>41.2</v>
      </c>
      <c r="M8" s="381">
        <f>L8/15.9</f>
        <v>2.5911949685534594</v>
      </c>
      <c r="N8">
        <v>32</v>
      </c>
      <c r="O8" s="381">
        <f t="shared" ref="O8:Q10" si="0">N8/15.9</f>
        <v>2.0125786163522013</v>
      </c>
      <c r="P8">
        <v>32</v>
      </c>
      <c r="Q8" s="381">
        <f t="shared" si="0"/>
        <v>2.0125786163522013</v>
      </c>
      <c r="R8" s="383">
        <v>7.6</v>
      </c>
      <c r="T8" t="s">
        <v>1955</v>
      </c>
      <c r="U8" s="380">
        <v>45748</v>
      </c>
      <c r="V8">
        <v>41.2</v>
      </c>
      <c r="W8" s="381">
        <f>V8/15.9</f>
        <v>2.5911949685534594</v>
      </c>
      <c r="X8">
        <v>32</v>
      </c>
      <c r="Y8" s="381">
        <f>X8/15.9</f>
        <v>2.0125786163522013</v>
      </c>
      <c r="Z8">
        <v>32</v>
      </c>
      <c r="AA8" s="381">
        <f>Z8/15.9</f>
        <v>2.0125786163522013</v>
      </c>
      <c r="AB8" s="383">
        <v>7.6</v>
      </c>
    </row>
    <row r="9" spans="2:28">
      <c r="B9" t="s">
        <v>1956</v>
      </c>
      <c r="C9" s="380">
        <v>45839</v>
      </c>
      <c r="D9">
        <v>21</v>
      </c>
      <c r="E9" s="381">
        <f>D9/15.9</f>
        <v>1.320754716981132</v>
      </c>
      <c r="F9">
        <v>36</v>
      </c>
      <c r="G9" s="381">
        <f>F9/15.9</f>
        <v>2.2641509433962264</v>
      </c>
      <c r="H9" s="383">
        <v>11.25</v>
      </c>
      <c r="J9" t="s">
        <v>1956</v>
      </c>
      <c r="K9" s="380">
        <v>45839</v>
      </c>
      <c r="L9">
        <v>11.5</v>
      </c>
      <c r="M9" s="381">
        <f>L9/15.9</f>
        <v>0.72327044025157228</v>
      </c>
      <c r="N9">
        <v>23</v>
      </c>
      <c r="O9" s="381">
        <f t="shared" si="0"/>
        <v>1.4465408805031446</v>
      </c>
      <c r="P9">
        <v>23</v>
      </c>
      <c r="Q9" s="381">
        <f t="shared" si="0"/>
        <v>1.4465408805031446</v>
      </c>
      <c r="R9" s="383">
        <v>3.95</v>
      </c>
      <c r="T9" t="s">
        <v>1956</v>
      </c>
      <c r="U9" s="380">
        <v>45839</v>
      </c>
      <c r="V9">
        <v>11.5</v>
      </c>
      <c r="W9" s="381">
        <f>V9/15.9</f>
        <v>0.72327044025157228</v>
      </c>
      <c r="X9">
        <v>23</v>
      </c>
      <c r="Y9" s="381">
        <f>X9/15.9</f>
        <v>1.4465408805031446</v>
      </c>
      <c r="Z9">
        <v>23</v>
      </c>
      <c r="AA9" s="381">
        <f>Z9/15.9</f>
        <v>1.4465408805031446</v>
      </c>
      <c r="AB9" s="383">
        <v>3.95</v>
      </c>
    </row>
    <row r="10" spans="2:28">
      <c r="B10" t="s">
        <v>1957</v>
      </c>
      <c r="C10" s="380">
        <v>45931</v>
      </c>
      <c r="D10">
        <v>23</v>
      </c>
      <c r="E10" s="381">
        <f>D10/15.9</f>
        <v>1.4465408805031446</v>
      </c>
      <c r="F10">
        <v>41</v>
      </c>
      <c r="G10" s="381">
        <f>F10/15.9</f>
        <v>2.5786163522012577</v>
      </c>
      <c r="H10" s="383">
        <v>-11.33</v>
      </c>
      <c r="J10" t="s">
        <v>1957</v>
      </c>
      <c r="K10" s="380">
        <v>45931</v>
      </c>
      <c r="L10">
        <v>15.1</v>
      </c>
      <c r="M10" s="381">
        <f>L10/15.9</f>
        <v>0.94968553459119498</v>
      </c>
      <c r="N10">
        <v>30</v>
      </c>
      <c r="O10" s="381">
        <f t="shared" si="0"/>
        <v>1.8867924528301887</v>
      </c>
      <c r="P10">
        <v>30</v>
      </c>
      <c r="Q10" s="381">
        <f t="shared" si="0"/>
        <v>1.8867924528301887</v>
      </c>
      <c r="R10" s="383">
        <v>-2.9</v>
      </c>
      <c r="T10" t="s">
        <v>1957</v>
      </c>
      <c r="U10" s="380">
        <v>45931</v>
      </c>
      <c r="V10">
        <v>15.1</v>
      </c>
      <c r="W10" s="381">
        <f>V10/15.9</f>
        <v>0.94968553459119498</v>
      </c>
      <c r="X10">
        <v>30</v>
      </c>
      <c r="Y10" s="381">
        <f>X10/15.9</f>
        <v>1.8867924528301887</v>
      </c>
      <c r="Z10">
        <v>30</v>
      </c>
      <c r="AA10" s="381">
        <f>Z10/15.9</f>
        <v>1.8867924528301887</v>
      </c>
      <c r="AB10" s="383">
        <v>-2.9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9CD7B-4F91-4E33-AC0A-D010510B0492}">
  <sheetPr codeName="Planilha3">
    <pageSetUpPr fitToPage="1"/>
  </sheetPr>
  <dimension ref="A1:AI135"/>
  <sheetViews>
    <sheetView topLeftCell="A10" zoomScale="80" zoomScaleNormal="80" zoomScaleSheetLayoutView="85" workbookViewId="0">
      <selection activeCell="L41" sqref="L41"/>
    </sheetView>
  </sheetViews>
  <sheetFormatPr defaultColWidth="9.140625" defaultRowHeight="15.75" outlineLevelCol="1"/>
  <cols>
    <col min="1" max="1" width="18.5703125" style="276" bestFit="1" customWidth="1"/>
    <col min="2" max="2" width="10.140625" style="277" bestFit="1" customWidth="1" outlineLevel="1"/>
    <col min="3" max="5" width="9.28515625" style="278" customWidth="1" outlineLevel="1"/>
    <col min="6" max="6" width="8.42578125" style="278" bestFit="1" customWidth="1"/>
    <col min="7" max="7" width="11.7109375" style="278" customWidth="1"/>
    <col min="8" max="8" width="9.28515625" style="278" customWidth="1" outlineLevel="1"/>
    <col min="9" max="9" width="10.140625" style="285" customWidth="1"/>
    <col min="10" max="10" width="10.140625" style="280" customWidth="1"/>
    <col min="11" max="12" width="9.140625" style="280"/>
    <col min="13" max="13" width="14.7109375" style="280" bestFit="1" customWidth="1"/>
    <col min="14" max="18" width="9.140625" style="280"/>
    <col min="19" max="21" width="11.85546875" style="280" customWidth="1"/>
    <col min="22" max="24" width="7.7109375" style="281" customWidth="1"/>
    <col min="25" max="25" width="2.5703125" style="281" customWidth="1"/>
    <col min="26" max="26" width="9.28515625" style="281" bestFit="1" customWidth="1"/>
    <col min="27" max="28" width="7.7109375" style="282" customWidth="1"/>
    <col min="29" max="29" width="7.7109375" style="280" customWidth="1"/>
    <col min="30" max="35" width="9.140625" style="280"/>
    <col min="36" max="36" width="9.28515625" style="280" bestFit="1" customWidth="1"/>
    <col min="37" max="38" width="9.140625" style="280"/>
    <col min="39" max="39" width="9.28515625" style="280" bestFit="1" customWidth="1"/>
    <col min="40" max="16384" width="9.140625" style="280"/>
  </cols>
  <sheetData>
    <row r="1" spans="1:28">
      <c r="I1" s="279"/>
      <c r="J1" s="280" t="str" cm="1">
        <f t="array" ref="J1">_xll.BDP(A1&amp;" Equity","PX_YEST_CLOSE")</f>
        <v>#N/A Invalid Security</v>
      </c>
    </row>
    <row r="2" spans="1:28">
      <c r="A2" s="283"/>
      <c r="C2" s="284"/>
    </row>
    <row r="3" spans="1:28" ht="16.5" thickBot="1">
      <c r="A3" s="286"/>
      <c r="B3" s="287"/>
      <c r="C3" s="288" t="s">
        <v>62</v>
      </c>
      <c r="D3" s="289"/>
      <c r="E3" s="288"/>
      <c r="F3" s="288" t="s">
        <v>63</v>
      </c>
      <c r="G3" s="290"/>
      <c r="H3" s="288"/>
    </row>
    <row r="4" spans="1:28">
      <c r="A4" s="291" t="s">
        <v>64</v>
      </c>
      <c r="C4" s="292">
        <f>'Master P&amp;L'!V5</f>
        <v>-0.37338016279600439</v>
      </c>
      <c r="F4" s="278">
        <f>'Master P&amp;L'!U5</f>
        <v>2.5448167385665892E-2</v>
      </c>
    </row>
    <row r="5" spans="1:28">
      <c r="A5" s="291" t="s">
        <v>65</v>
      </c>
      <c r="C5" s="292">
        <f>'Master P&amp;L'!V6</f>
        <v>0.84755150739244955</v>
      </c>
      <c r="F5" s="278">
        <f>'Master P&amp;L'!U6</f>
        <v>-8.2205381095916893E-3</v>
      </c>
    </row>
    <row r="6" spans="1:28" s="298" customFormat="1">
      <c r="A6" s="293" t="s">
        <v>66</v>
      </c>
      <c r="B6" s="294"/>
      <c r="C6" s="295">
        <f>'Master P&amp;L'!V7</f>
        <v>0.47417134459644517</v>
      </c>
      <c r="D6" s="296"/>
      <c r="E6" s="296"/>
      <c r="F6" s="296">
        <f>'Master P&amp;L'!U7</f>
        <v>1.7227629276074203E-2</v>
      </c>
      <c r="G6" s="296"/>
      <c r="H6" s="296"/>
      <c r="I6" s="297"/>
      <c r="V6" s="299"/>
      <c r="W6" s="299"/>
      <c r="X6" s="299"/>
      <c r="Y6" s="299"/>
      <c r="Z6" s="299"/>
      <c r="AA6" s="282"/>
      <c r="AB6" s="282"/>
    </row>
    <row r="7" spans="1:28">
      <c r="A7" s="291" t="s">
        <v>67</v>
      </c>
      <c r="F7" s="278">
        <f>'Master P&amp;L'!U8</f>
        <v>3.3668705495257578E-2</v>
      </c>
    </row>
    <row r="8" spans="1:28">
      <c r="A8" s="300" t="s">
        <v>68</v>
      </c>
      <c r="B8" s="301"/>
      <c r="C8" s="302">
        <f>'Master P&amp;L'!V7*'Master P&amp;L'!AD5/10000</f>
        <v>106500.54682043282</v>
      </c>
      <c r="D8" s="284"/>
      <c r="E8" s="284"/>
      <c r="F8" s="284"/>
      <c r="G8" s="284"/>
      <c r="H8" s="284"/>
    </row>
    <row r="9" spans="1:28" ht="16.5" thickBot="1">
      <c r="A9" s="303" t="s">
        <v>69</v>
      </c>
      <c r="B9" s="304"/>
      <c r="C9" s="305">
        <f>C8*'Master P&amp;L'!AC3</f>
        <v>557903.1145188373</v>
      </c>
      <c r="D9" s="306"/>
      <c r="E9" s="306"/>
      <c r="F9" s="306"/>
      <c r="G9" s="307"/>
      <c r="H9" s="306"/>
    </row>
    <row r="10" spans="1:28">
      <c r="A10" s="423" t="s">
        <v>2122</v>
      </c>
      <c r="B10" s="426">
        <f>Options!AI1</f>
        <v>-14.097599560832936</v>
      </c>
      <c r="H10" s="285"/>
    </row>
    <row r="11" spans="1:28">
      <c r="A11" s="308">
        <f ca="1">TODAY()</f>
        <v>46056</v>
      </c>
      <c r="H11" s="285"/>
      <c r="L11" s="278"/>
    </row>
    <row r="12" spans="1:28" s="359" customFormat="1" ht="47.25">
      <c r="A12" s="576" t="s">
        <v>72</v>
      </c>
      <c r="B12" s="569" t="s">
        <v>73</v>
      </c>
      <c r="C12" s="575" t="s">
        <v>74</v>
      </c>
      <c r="D12" s="575" t="s">
        <v>75</v>
      </c>
      <c r="E12" s="575" t="s">
        <v>76</v>
      </c>
      <c r="F12" s="575" t="s">
        <v>77</v>
      </c>
      <c r="G12" s="358"/>
      <c r="H12" s="360"/>
      <c r="I12" s="360"/>
      <c r="L12" s="309"/>
      <c r="AA12" s="361"/>
      <c r="AB12" s="361"/>
    </row>
    <row r="13" spans="1:28">
      <c r="A13" s="570" t="s">
        <v>1907</v>
      </c>
      <c r="B13" s="571">
        <v>-1.6094524848431619E-2</v>
      </c>
      <c r="C13" s="574">
        <v>-8.4465922579703312E-2</v>
      </c>
      <c r="D13" s="572">
        <v>7.342186186641759E-4</v>
      </c>
      <c r="E13" s="572">
        <v>2.370209495395408E-4</v>
      </c>
      <c r="F13" s="572">
        <v>9.7123956820371676E-4</v>
      </c>
      <c r="G13" s="310"/>
      <c r="H13" s="285"/>
      <c r="L13" s="310"/>
    </row>
    <row r="14" spans="1:28">
      <c r="A14" s="573" t="s">
        <v>38</v>
      </c>
      <c r="B14" s="571">
        <v>4.8367593712212997E-3</v>
      </c>
      <c r="C14" s="574">
        <v>3.6701988780370537E-2</v>
      </c>
      <c r="D14" s="572">
        <v>2.9131560657807466E-4</v>
      </c>
      <c r="E14" s="572">
        <v>2.370209495395408E-4</v>
      </c>
      <c r="F14" s="572">
        <v>5.2833655611761541E-4</v>
      </c>
      <c r="G14" s="310"/>
      <c r="H14" s="285"/>
      <c r="I14" s="279"/>
      <c r="L14" s="310"/>
    </row>
    <row r="15" spans="1:28">
      <c r="A15" s="573" t="s">
        <v>2138</v>
      </c>
      <c r="B15" s="571">
        <v>-2.4971393955711019E-2</v>
      </c>
      <c r="C15" s="574">
        <v>-5.4345609999718138E-2</v>
      </c>
      <c r="D15" s="572">
        <v>2.121969020096823E-4</v>
      </c>
      <c r="E15" s="572">
        <v>0</v>
      </c>
      <c r="F15" s="572">
        <v>2.121969020096823E-4</v>
      </c>
      <c r="G15" s="310"/>
      <c r="H15" s="285"/>
      <c r="I15" s="279"/>
      <c r="L15" s="310"/>
    </row>
    <row r="16" spans="1:28">
      <c r="A16" s="573" t="s">
        <v>461</v>
      </c>
      <c r="B16" s="571">
        <v>-2.8148939960805142E-2</v>
      </c>
      <c r="C16" s="574">
        <v>-6.6822301360355718E-2</v>
      </c>
      <c r="D16" s="572">
        <v>2.3070611007641896E-4</v>
      </c>
      <c r="E16" s="572">
        <v>0</v>
      </c>
      <c r="F16" s="572">
        <v>2.3070611007641896E-4</v>
      </c>
      <c r="G16" s="310"/>
      <c r="H16" s="285"/>
      <c r="I16" s="279"/>
      <c r="L16" s="310"/>
    </row>
    <row r="17" spans="1:12">
      <c r="A17" s="570" t="s">
        <v>78</v>
      </c>
      <c r="B17" s="571">
        <v>-6.1613136824317178E-3</v>
      </c>
      <c r="C17" s="574">
        <v>1.0396199466314779</v>
      </c>
      <c r="D17" s="572">
        <v>-6.3623563852850734E-3</v>
      </c>
      <c r="E17" s="572">
        <v>-4.1746488129387554E-4</v>
      </c>
      <c r="F17" s="572">
        <v>-6.77982126657895E-3</v>
      </c>
      <c r="G17" s="310"/>
      <c r="H17" s="285"/>
      <c r="I17" s="279"/>
      <c r="L17" s="310"/>
    </row>
    <row r="18" spans="1:12">
      <c r="A18" s="573" t="s">
        <v>3</v>
      </c>
      <c r="B18" s="571">
        <v>2.3226804168471338E-3</v>
      </c>
      <c r="C18" s="574">
        <v>0.11351476274889274</v>
      </c>
      <c r="D18" s="572">
        <v>0</v>
      </c>
      <c r="E18" s="572"/>
      <c r="F18" s="572">
        <v>0</v>
      </c>
      <c r="G18" s="310"/>
      <c r="H18" s="285"/>
      <c r="I18" s="279"/>
      <c r="L18" s="310"/>
    </row>
    <row r="19" spans="1:12">
      <c r="A19" s="573" t="s">
        <v>135</v>
      </c>
      <c r="B19" s="571">
        <v>-9.5669915168380051E-3</v>
      </c>
      <c r="C19" s="574">
        <v>0.38336272448944719</v>
      </c>
      <c r="D19" s="572">
        <v>0</v>
      </c>
      <c r="E19" s="572">
        <v>-6.1204151461471653E-5</v>
      </c>
      <c r="F19" s="572">
        <v>-6.1204151461472303E-5</v>
      </c>
      <c r="G19" s="310"/>
      <c r="H19" s="285"/>
      <c r="I19" s="279"/>
      <c r="L19" s="310"/>
    </row>
    <row r="20" spans="1:12">
      <c r="A20" s="573" t="s">
        <v>1908</v>
      </c>
      <c r="B20" s="571">
        <v>1.3715277826314987E-3</v>
      </c>
      <c r="C20" s="574">
        <v>0.213466180684037</v>
      </c>
      <c r="D20" s="572">
        <v>-6.3623563852850734E-3</v>
      </c>
      <c r="E20" s="572">
        <v>0</v>
      </c>
      <c r="F20" s="572">
        <v>-6.3623563852850734E-3</v>
      </c>
      <c r="G20" s="310"/>
      <c r="H20" s="285"/>
      <c r="L20" s="310"/>
    </row>
    <row r="21" spans="1:12">
      <c r="A21" s="573" t="s">
        <v>2451</v>
      </c>
      <c r="B21" s="571">
        <v>-1.7069632495164355E-2</v>
      </c>
      <c r="C21" s="574">
        <v>0.26125088779708144</v>
      </c>
      <c r="D21" s="572">
        <v>0</v>
      </c>
      <c r="E21" s="572">
        <v>0</v>
      </c>
      <c r="F21" s="572">
        <v>0</v>
      </c>
      <c r="G21" s="310"/>
      <c r="H21" s="285"/>
      <c r="I21" s="279"/>
      <c r="L21" s="310"/>
    </row>
    <row r="22" spans="1:12">
      <c r="A22" s="573" t="s">
        <v>2486</v>
      </c>
      <c r="B22" s="571">
        <v>-1.7069632495164355E-2</v>
      </c>
      <c r="C22" s="574">
        <v>6.8025390912019618E-2</v>
      </c>
      <c r="D22" s="572">
        <v>0</v>
      </c>
      <c r="E22" s="572">
        <v>-3.5626072983240388E-4</v>
      </c>
      <c r="F22" s="572">
        <v>-3.5626072983240388E-4</v>
      </c>
      <c r="G22" s="310"/>
      <c r="H22" s="285"/>
      <c r="I22" s="279"/>
      <c r="L22" s="310"/>
    </row>
    <row r="23" spans="1:12">
      <c r="A23" s="570" t="s">
        <v>1880</v>
      </c>
      <c r="B23" s="571">
        <v>-5.8170553995782522E-3</v>
      </c>
      <c r="C23" s="574">
        <v>-1.0068404304859435</v>
      </c>
      <c r="D23" s="572">
        <v>2.2568248420294129E-3</v>
      </c>
      <c r="E23" s="572">
        <v>6.5260395770348322E-3</v>
      </c>
      <c r="F23" s="572">
        <v>8.7828644190642447E-3</v>
      </c>
      <c r="G23" s="310"/>
      <c r="H23" s="285"/>
      <c r="I23" s="279"/>
      <c r="L23" s="310"/>
    </row>
    <row r="24" spans="1:12">
      <c r="A24" s="573" t="s">
        <v>94</v>
      </c>
      <c r="B24" s="571">
        <v>-1.5302995293961119E-2</v>
      </c>
      <c r="C24" s="574">
        <v>-0.55901747156878678</v>
      </c>
      <c r="D24" s="572">
        <v>1.7330570846970195E-3</v>
      </c>
      <c r="E24" s="572">
        <v>4.3930054510904807E-4</v>
      </c>
      <c r="F24" s="572">
        <v>2.1723576298060677E-3</v>
      </c>
      <c r="G24" s="310"/>
      <c r="H24" s="285"/>
      <c r="I24" s="279"/>
      <c r="L24" s="310"/>
    </row>
    <row r="25" spans="1:12">
      <c r="A25" s="573" t="s">
        <v>96</v>
      </c>
      <c r="B25" s="571">
        <v>-5.9432482200570402E-3</v>
      </c>
      <c r="C25" s="574">
        <v>-0.33040508286455478</v>
      </c>
      <c r="D25" s="572">
        <v>5.237677573323937E-4</v>
      </c>
      <c r="E25" s="572">
        <v>5.3764012205043702E-3</v>
      </c>
      <c r="F25" s="572">
        <v>5.9001689778367637E-3</v>
      </c>
      <c r="G25" s="310"/>
      <c r="H25" s="285"/>
      <c r="I25" s="279"/>
      <c r="L25" s="310"/>
    </row>
    <row r="26" spans="1:12">
      <c r="A26" s="573" t="s">
        <v>137</v>
      </c>
      <c r="B26" s="571">
        <v>-4.6811184619770145E-3</v>
      </c>
      <c r="C26" s="574">
        <v>-0.16434600577394706</v>
      </c>
      <c r="D26" s="572">
        <v>0</v>
      </c>
      <c r="E26" s="572">
        <v>7.4828811463852139E-4</v>
      </c>
      <c r="F26" s="572">
        <v>7.4828811463852139E-4</v>
      </c>
      <c r="G26" s="310"/>
      <c r="H26" s="285"/>
      <c r="I26" s="279"/>
      <c r="L26" s="310"/>
    </row>
    <row r="27" spans="1:12">
      <c r="A27" s="573" t="s">
        <v>138</v>
      </c>
      <c r="B27" s="571">
        <v>-5.3246288906821926E-3</v>
      </c>
      <c r="C27" s="574">
        <v>1.6097603625483896E-2</v>
      </c>
      <c r="D27" s="572">
        <v>0</v>
      </c>
      <c r="E27" s="572">
        <v>-2.6211575370009902E-4</v>
      </c>
      <c r="F27" s="572">
        <v>-2.6211575370009896E-4</v>
      </c>
      <c r="G27" s="310"/>
      <c r="H27" s="285"/>
      <c r="I27" s="279"/>
      <c r="L27" s="310"/>
    </row>
    <row r="28" spans="1:12">
      <c r="A28" s="573" t="s">
        <v>708</v>
      </c>
      <c r="B28" s="571">
        <v>9.0145461995492226E-3</v>
      </c>
      <c r="C28" s="574">
        <v>3.0830526095861482E-2</v>
      </c>
      <c r="D28" s="572">
        <v>0</v>
      </c>
      <c r="E28" s="572">
        <v>2.241654504829914E-4</v>
      </c>
      <c r="F28" s="572">
        <v>2.241654504829914E-4</v>
      </c>
      <c r="G28" s="310"/>
      <c r="H28" s="285"/>
      <c r="I28" s="279"/>
      <c r="L28" s="310"/>
    </row>
    <row r="29" spans="1:12">
      <c r="A29" s="570" t="s">
        <v>2134</v>
      </c>
      <c r="B29" s="571">
        <v>6.1827219371406096E-2</v>
      </c>
      <c r="C29" s="574">
        <v>1.6463105168813676</v>
      </c>
      <c r="D29" s="572">
        <v>2.6947224139938506E-3</v>
      </c>
      <c r="E29" s="572">
        <v>0</v>
      </c>
      <c r="F29" s="572">
        <v>2.6947224139938506E-3</v>
      </c>
      <c r="G29" s="310"/>
      <c r="H29" s="285"/>
      <c r="I29" s="279"/>
      <c r="L29" s="310"/>
    </row>
    <row r="30" spans="1:12">
      <c r="A30" s="573" t="s">
        <v>1754</v>
      </c>
      <c r="B30" s="571">
        <v>1.0740042598580746E-2</v>
      </c>
      <c r="C30" s="574">
        <v>0.99866699196770015</v>
      </c>
      <c r="D30" s="572">
        <v>1.9871159859532594E-3</v>
      </c>
      <c r="E30" s="572">
        <v>0</v>
      </c>
      <c r="F30" s="572">
        <v>1.9871159859532594E-3</v>
      </c>
      <c r="G30" s="310"/>
      <c r="H30" s="285"/>
      <c r="I30" s="279"/>
      <c r="L30" s="310"/>
    </row>
    <row r="31" spans="1:12">
      <c r="A31" s="573" t="s">
        <v>2268</v>
      </c>
      <c r="B31" s="571">
        <v>9.2771084337349485E-2</v>
      </c>
      <c r="C31" s="574">
        <v>0.3092585481772423</v>
      </c>
      <c r="D31" s="572">
        <v>3.6428247168410232E-4</v>
      </c>
      <c r="E31" s="572">
        <v>0</v>
      </c>
      <c r="F31" s="572">
        <v>3.6428247168410232E-4</v>
      </c>
      <c r="G31" s="310"/>
      <c r="H31" s="285"/>
      <c r="I31" s="279"/>
      <c r="L31" s="310"/>
    </row>
    <row r="32" spans="1:12">
      <c r="A32" s="573" t="s">
        <v>2473</v>
      </c>
      <c r="B32" s="571">
        <v>8.118811881188126E-2</v>
      </c>
      <c r="C32" s="574">
        <v>3.3690587776088951E-2</v>
      </c>
      <c r="D32" s="572">
        <v>4.486600225791357E-5</v>
      </c>
      <c r="E32" s="572">
        <v>0</v>
      </c>
      <c r="F32" s="572">
        <v>4.486600225791357E-5</v>
      </c>
      <c r="G32" s="310"/>
      <c r="H32" s="285"/>
      <c r="L32" s="310"/>
    </row>
    <row r="33" spans="1:28">
      <c r="A33" s="573" t="s">
        <v>2474</v>
      </c>
      <c r="B33" s="571">
        <v>0.11369680851063824</v>
      </c>
      <c r="C33" s="574">
        <v>0.30469438896033613</v>
      </c>
      <c r="D33" s="572">
        <v>2.984579540985749E-4</v>
      </c>
      <c r="E33" s="572">
        <v>0</v>
      </c>
      <c r="F33" s="572">
        <v>2.984579540985749E-4</v>
      </c>
      <c r="G33" s="310"/>
      <c r="H33" s="285"/>
      <c r="I33" s="279"/>
      <c r="L33" s="310"/>
    </row>
    <row r="34" spans="1:28">
      <c r="A34" s="570" t="s">
        <v>2064</v>
      </c>
      <c r="B34" s="571">
        <v>-3.3225761003461232E-3</v>
      </c>
      <c r="C34" s="574">
        <v>0.3350372781187137</v>
      </c>
      <c r="D34" s="572">
        <v>2.5961698259409616E-3</v>
      </c>
      <c r="E34" s="572">
        <v>0</v>
      </c>
      <c r="F34" s="572">
        <v>2.5961698259409616E-3</v>
      </c>
      <c r="G34" s="310"/>
      <c r="H34" s="285"/>
      <c r="I34" s="279"/>
      <c r="L34" s="310"/>
      <c r="N34" s="281"/>
      <c r="O34" s="281"/>
      <c r="P34" s="281"/>
      <c r="Q34" s="281"/>
      <c r="R34" s="281"/>
      <c r="S34" s="311"/>
      <c r="T34" s="311"/>
      <c r="U34" s="311"/>
    </row>
    <row r="35" spans="1:28">
      <c r="A35" s="573" t="s">
        <v>2063</v>
      </c>
      <c r="B35" s="571">
        <v>1.3620137177341951E-2</v>
      </c>
      <c r="C35" s="574">
        <v>0.15775213352603354</v>
      </c>
      <c r="D35" s="572">
        <v>6.5369479330644811E-4</v>
      </c>
      <c r="E35" s="572">
        <v>0</v>
      </c>
      <c r="F35" s="572">
        <v>6.5369479330644811E-4</v>
      </c>
      <c r="G35" s="280"/>
      <c r="H35" s="285"/>
      <c r="I35" s="279"/>
      <c r="L35" s="310"/>
    </row>
    <row r="36" spans="1:28">
      <c r="A36" s="573" t="s">
        <v>2344</v>
      </c>
      <c r="B36" s="571">
        <v>2.0174656990220807E-2</v>
      </c>
      <c r="C36" s="574">
        <v>0.37038727763998952</v>
      </c>
      <c r="D36" s="572">
        <v>1.5511301169620307E-3</v>
      </c>
      <c r="E36" s="572">
        <v>0</v>
      </c>
      <c r="F36" s="572">
        <v>1.5511301169620307E-3</v>
      </c>
      <c r="G36" s="280"/>
      <c r="H36" s="285"/>
      <c r="I36" s="279"/>
      <c r="L36" s="310"/>
    </row>
    <row r="37" spans="1:28">
      <c r="A37" s="573" t="s">
        <v>2353</v>
      </c>
      <c r="B37" s="571">
        <v>-4.3762522468601128E-2</v>
      </c>
      <c r="C37" s="574">
        <v>-0.19310213304730933</v>
      </c>
      <c r="D37" s="572">
        <v>3.9134491567248278E-4</v>
      </c>
      <c r="E37" s="572">
        <v>0</v>
      </c>
      <c r="F37" s="572">
        <v>3.9134491567248278E-4</v>
      </c>
      <c r="G37" s="280"/>
      <c r="H37" s="285"/>
      <c r="L37" s="310"/>
      <c r="S37" s="298"/>
      <c r="T37" s="298"/>
      <c r="U37" s="298"/>
      <c r="V37" s="312"/>
      <c r="W37" s="312"/>
      <c r="X37" s="312"/>
      <c r="Y37" s="312"/>
      <c r="Z37" s="312"/>
    </row>
    <row r="38" spans="1:28">
      <c r="A38" s="570" t="s">
        <v>2129</v>
      </c>
      <c r="B38" s="571">
        <v>2.6313433024300892E-3</v>
      </c>
      <c r="C38" s="574">
        <v>3.2259893972386718E-2</v>
      </c>
      <c r="D38" s="572">
        <v>9.7053870149242606E-4</v>
      </c>
      <c r="E38" s="572">
        <v>0</v>
      </c>
      <c r="F38" s="572">
        <v>9.7053870149242606E-4</v>
      </c>
      <c r="G38" s="280"/>
      <c r="H38" s="285"/>
      <c r="I38" s="279"/>
      <c r="L38" s="310"/>
      <c r="AA38" s="313"/>
      <c r="AB38" s="313"/>
    </row>
    <row r="39" spans="1:28">
      <c r="A39" s="573" t="s">
        <v>2128</v>
      </c>
      <c r="B39" s="571">
        <v>1.3054830287206887E-3</v>
      </c>
      <c r="C39" s="574">
        <v>2.9630691746952696E-3</v>
      </c>
      <c r="D39" s="572">
        <v>2.2726740569913202E-4</v>
      </c>
      <c r="E39" s="572">
        <v>0</v>
      </c>
      <c r="F39" s="572">
        <v>2.2726740569913202E-4</v>
      </c>
      <c r="G39" s="280"/>
      <c r="H39" s="285"/>
      <c r="I39" s="279"/>
      <c r="L39" s="310"/>
      <c r="S39" s="298"/>
      <c r="T39" s="298"/>
      <c r="U39" s="298"/>
      <c r="V39" s="299"/>
      <c r="W39" s="299"/>
      <c r="X39" s="299"/>
      <c r="Y39" s="299"/>
      <c r="Z39" s="299"/>
    </row>
    <row r="40" spans="1:28">
      <c r="A40" s="573" t="s">
        <v>2487</v>
      </c>
      <c r="B40" s="571">
        <v>3.9572035761394897E-3</v>
      </c>
      <c r="C40" s="574">
        <v>2.929682479769145E-2</v>
      </c>
      <c r="D40" s="572">
        <v>7.4327129579329404E-4</v>
      </c>
      <c r="E40" s="572"/>
      <c r="F40" s="572">
        <v>7.4327129579329404E-4</v>
      </c>
      <c r="G40" s="280"/>
      <c r="H40" s="285"/>
      <c r="L40" s="310"/>
    </row>
    <row r="41" spans="1:28">
      <c r="A41" s="570" t="s">
        <v>2246</v>
      </c>
      <c r="B41" s="571">
        <v>-1.8125553823162246E-2</v>
      </c>
      <c r="C41" s="574">
        <v>-1.2034935306722248</v>
      </c>
      <c r="D41" s="572">
        <v>5.3760023229393952E-3</v>
      </c>
      <c r="E41" s="572">
        <v>2.6370433523048337E-3</v>
      </c>
      <c r="F41" s="572">
        <v>8.0130456752442285E-3</v>
      </c>
      <c r="G41" s="280"/>
      <c r="H41" s="285"/>
      <c r="I41" s="279"/>
      <c r="L41" s="310"/>
      <c r="S41" s="298"/>
      <c r="T41" s="298"/>
      <c r="U41" s="298"/>
      <c r="V41" s="312"/>
      <c r="W41" s="312"/>
      <c r="X41" s="312"/>
      <c r="Y41" s="312"/>
      <c r="Z41" s="312"/>
    </row>
    <row r="42" spans="1:28">
      <c r="A42" s="573" t="s">
        <v>79</v>
      </c>
      <c r="B42" s="571">
        <v>-3.9692725016359232E-3</v>
      </c>
      <c r="C42" s="574">
        <v>-2.9213358060375946E-2</v>
      </c>
      <c r="D42" s="572">
        <v>9.5593619579910361E-4</v>
      </c>
      <c r="E42" s="572">
        <v>1.0532984895817935E-3</v>
      </c>
      <c r="F42" s="572">
        <v>2.0092346853808974E-3</v>
      </c>
      <c r="G42" s="280"/>
      <c r="H42" s="285"/>
      <c r="I42" s="279"/>
      <c r="L42" s="310"/>
      <c r="S42" s="298"/>
      <c r="T42" s="298"/>
      <c r="U42" s="298"/>
      <c r="V42" s="299"/>
      <c r="W42" s="299"/>
      <c r="X42" s="299"/>
      <c r="Y42" s="299"/>
      <c r="Z42" s="299"/>
    </row>
    <row r="43" spans="1:28">
      <c r="A43" s="573" t="s">
        <v>89</v>
      </c>
      <c r="B43" s="571">
        <v>-3.1076228734500777E-2</v>
      </c>
      <c r="C43" s="574">
        <v>0.20178083745988629</v>
      </c>
      <c r="D43" s="572">
        <v>-7.1272246993587174E-4</v>
      </c>
      <c r="E43" s="572">
        <v>0</v>
      </c>
      <c r="F43" s="572">
        <v>-7.1272246993587174E-4</v>
      </c>
      <c r="G43" s="280"/>
      <c r="H43" s="285"/>
      <c r="I43" s="279"/>
      <c r="L43" s="310"/>
    </row>
    <row r="44" spans="1:28">
      <c r="A44" s="573" t="s">
        <v>81</v>
      </c>
      <c r="B44" s="571">
        <v>-1.363649492058594E-2</v>
      </c>
      <c r="C44" s="574">
        <v>-0.67258748929777856</v>
      </c>
      <c r="D44" s="572">
        <v>1.2845802139730409E-3</v>
      </c>
      <c r="E44" s="572">
        <v>1.663157424915761E-3</v>
      </c>
      <c r="F44" s="572">
        <v>2.9477376388888019E-3</v>
      </c>
      <c r="G44" s="280"/>
      <c r="H44" s="285"/>
      <c r="I44" s="279"/>
      <c r="L44" s="310"/>
      <c r="S44" s="311"/>
      <c r="T44" s="311"/>
      <c r="U44" s="311"/>
    </row>
    <row r="45" spans="1:28">
      <c r="A45" s="573" t="s">
        <v>90</v>
      </c>
      <c r="B45" s="571">
        <v>-1.8951101095863232E-2</v>
      </c>
      <c r="C45" s="574">
        <v>-0.17555475392802711</v>
      </c>
      <c r="D45" s="572">
        <v>3.2263015628362804E-4</v>
      </c>
      <c r="E45" s="572">
        <v>0</v>
      </c>
      <c r="F45" s="572">
        <v>3.2263015628362804E-4</v>
      </c>
      <c r="G45" s="280"/>
      <c r="H45" s="285"/>
      <c r="I45" s="279"/>
      <c r="L45" s="310"/>
    </row>
    <row r="46" spans="1:28">
      <c r="A46" s="573" t="s">
        <v>399</v>
      </c>
      <c r="B46" s="571">
        <v>-1.7863022719789234E-2</v>
      </c>
      <c r="C46" s="574">
        <v>-0.26625054536227183</v>
      </c>
      <c r="D46" s="572">
        <v>1.4638872150770795E-3</v>
      </c>
      <c r="E46" s="572">
        <v>0</v>
      </c>
      <c r="F46" s="572">
        <v>1.4638872150770795E-3</v>
      </c>
      <c r="G46" s="280"/>
      <c r="H46" s="285"/>
      <c r="I46" s="279"/>
    </row>
    <row r="47" spans="1:28">
      <c r="A47" s="573" t="s">
        <v>2497</v>
      </c>
      <c r="B47" s="571">
        <v>-3.407443209279859E-2</v>
      </c>
      <c r="C47" s="574">
        <v>-7.5120063583825206E-3</v>
      </c>
      <c r="D47" s="572">
        <v>0</v>
      </c>
      <c r="E47" s="572">
        <v>-7.9412562192720726E-5</v>
      </c>
      <c r="F47" s="572">
        <v>-7.9412562192720726E-5</v>
      </c>
      <c r="G47" s="280"/>
      <c r="H47" s="285"/>
      <c r="I47" s="279"/>
    </row>
    <row r="48" spans="1:28">
      <c r="A48" s="573" t="s">
        <v>2145</v>
      </c>
      <c r="B48" s="571">
        <v>-1.2177442737025146E-2</v>
      </c>
      <c r="C48" s="574">
        <v>-0.25415621512527503</v>
      </c>
      <c r="D48" s="572">
        <v>2.0616910117424152E-3</v>
      </c>
      <c r="E48" s="572">
        <v>0</v>
      </c>
      <c r="F48" s="572">
        <v>2.0616910117424152E-3</v>
      </c>
      <c r="G48" s="280"/>
      <c r="H48" s="285"/>
      <c r="I48" s="279"/>
    </row>
    <row r="49" spans="1:35">
      <c r="A49" s="570" t="s">
        <v>2247</v>
      </c>
      <c r="B49" s="571">
        <v>2.6384979700014633E-3</v>
      </c>
      <c r="C49" s="574">
        <v>-0.25859038554515579</v>
      </c>
      <c r="D49" s="572">
        <v>-2.2003918624762168E-5</v>
      </c>
      <c r="E49" s="572">
        <v>0</v>
      </c>
      <c r="F49" s="572">
        <v>-2.2003918624762168E-5</v>
      </c>
      <c r="G49" s="280"/>
      <c r="H49" s="285"/>
      <c r="I49" s="279"/>
    </row>
    <row r="50" spans="1:35">
      <c r="A50" s="573" t="s">
        <v>88</v>
      </c>
      <c r="B50" s="571">
        <v>-7.6905569989413891E-3</v>
      </c>
      <c r="C50" s="574">
        <v>-6.4822354867542772E-2</v>
      </c>
      <c r="D50" s="572">
        <v>5.2498699769772789E-4</v>
      </c>
      <c r="E50" s="572">
        <v>0</v>
      </c>
      <c r="F50" s="572">
        <v>5.2498699769772789E-4</v>
      </c>
      <c r="G50" s="280"/>
      <c r="H50" s="285"/>
      <c r="I50" s="279"/>
      <c r="O50" s="280">
        <v>1.1100000000000001</v>
      </c>
    </row>
    <row r="51" spans="1:35">
      <c r="A51" s="573" t="s">
        <v>4</v>
      </c>
      <c r="B51" s="571">
        <v>1.621301775147943E-2</v>
      </c>
      <c r="C51" s="574">
        <v>-0.15723046641781274</v>
      </c>
      <c r="D51" s="572">
        <v>-9.855022008246376E-4</v>
      </c>
      <c r="E51" s="572">
        <v>0</v>
      </c>
      <c r="F51" s="572">
        <v>-9.855022008246376E-4</v>
      </c>
      <c r="G51" s="280"/>
      <c r="H51" s="285"/>
      <c r="I51" s="280"/>
      <c r="O51" s="280">
        <v>-1.4</v>
      </c>
      <c r="P51" s="280" t="s">
        <v>2433</v>
      </c>
    </row>
    <row r="52" spans="1:35">
      <c r="A52" s="573" t="s">
        <v>6</v>
      </c>
      <c r="B52" s="571">
        <v>-3.3840947546532885E-3</v>
      </c>
      <c r="C52" s="574">
        <v>-1.8780015895957049E-2</v>
      </c>
      <c r="D52" s="572">
        <v>5.5307146813591407E-4</v>
      </c>
      <c r="E52" s="572">
        <v>0</v>
      </c>
      <c r="F52" s="572">
        <v>5.5307146813591407E-4</v>
      </c>
      <c r="G52" s="280"/>
      <c r="H52" s="285"/>
      <c r="I52" s="279"/>
    </row>
    <row r="53" spans="1:35">
      <c r="A53" s="573" t="s">
        <v>2261</v>
      </c>
      <c r="B53" s="571">
        <v>1.5744680851063952E-2</v>
      </c>
      <c r="C53" s="574">
        <v>-1.7757548363843204E-2</v>
      </c>
      <c r="D53" s="572">
        <v>-1.1456018363376653E-4</v>
      </c>
      <c r="E53" s="572">
        <v>0</v>
      </c>
      <c r="F53" s="572">
        <v>-1.1456018363376653E-4</v>
      </c>
      <c r="G53" s="280"/>
      <c r="H53" s="285"/>
      <c r="I53" s="279"/>
    </row>
    <row r="54" spans="1:35">
      <c r="A54" s="570" t="s">
        <v>97</v>
      </c>
      <c r="B54" s="571">
        <v>-1.0515926868220849E-3</v>
      </c>
      <c r="C54" s="574">
        <v>0.49983736632091907</v>
      </c>
      <c r="D54" s="572">
        <v>8.2441164211503899E-3</v>
      </c>
      <c r="E54" s="572">
        <v>8.9826389975853314E-3</v>
      </c>
      <c r="F54" s="572">
        <v>1.722675541873572E-2</v>
      </c>
      <c r="G54" s="280"/>
      <c r="H54" s="285"/>
      <c r="I54" s="279"/>
    </row>
    <row r="55" spans="1:35">
      <c r="A55"/>
      <c r="B55"/>
      <c r="C55"/>
      <c r="D55"/>
      <c r="E55"/>
      <c r="F55"/>
      <c r="G55" s="280"/>
      <c r="H55" s="285"/>
      <c r="I55" s="280"/>
    </row>
    <row r="56" spans="1:35">
      <c r="A56"/>
      <c r="B56"/>
      <c r="C56"/>
      <c r="D56"/>
      <c r="E56"/>
      <c r="F56"/>
      <c r="G56" s="280"/>
      <c r="H56" s="285"/>
      <c r="I56" s="280"/>
    </row>
    <row r="57" spans="1:35">
      <c r="A57"/>
      <c r="B57"/>
      <c r="C57"/>
      <c r="D57"/>
      <c r="E57"/>
      <c r="F57"/>
      <c r="G57" s="280"/>
      <c r="H57" s="285"/>
      <c r="I57" s="280"/>
    </row>
    <row r="58" spans="1:35">
      <c r="A58"/>
      <c r="B58"/>
      <c r="C58"/>
      <c r="D58"/>
      <c r="E58"/>
      <c r="F58"/>
      <c r="G58" s="280"/>
      <c r="H58" s="285"/>
      <c r="I58" s="280"/>
    </row>
    <row r="59" spans="1:35">
      <c r="A59"/>
      <c r="B59"/>
      <c r="C59"/>
      <c r="D59"/>
      <c r="E59"/>
      <c r="F59"/>
      <c r="G59" s="280"/>
      <c r="H59" s="285"/>
      <c r="I59" s="280"/>
    </row>
    <row r="60" spans="1:35">
      <c r="A60"/>
      <c r="B60"/>
      <c r="C60"/>
      <c r="D60"/>
      <c r="E60"/>
      <c r="F60"/>
      <c r="G60" s="280"/>
      <c r="H60" s="285"/>
      <c r="I60" s="280"/>
    </row>
    <row r="61" spans="1:35">
      <c r="A61"/>
      <c r="B61"/>
      <c r="C61"/>
      <c r="D61"/>
      <c r="E61"/>
      <c r="F61"/>
      <c r="G61" s="280"/>
      <c r="H61" s="285"/>
      <c r="I61" s="280"/>
      <c r="AI61" s="314"/>
    </row>
    <row r="62" spans="1:35">
      <c r="A62"/>
      <c r="B62"/>
      <c r="C62"/>
      <c r="D62"/>
      <c r="E62"/>
      <c r="F62"/>
      <c r="G62" s="280"/>
      <c r="H62" s="285"/>
      <c r="I62" s="280"/>
      <c r="AI62" s="314"/>
    </row>
    <row r="63" spans="1:35">
      <c r="A63"/>
      <c r="B63"/>
      <c r="C63"/>
      <c r="D63"/>
      <c r="E63"/>
      <c r="F63"/>
      <c r="G63" s="280"/>
      <c r="H63" s="285"/>
      <c r="I63" s="280"/>
      <c r="AI63" s="314"/>
    </row>
    <row r="64" spans="1:35">
      <c r="A64"/>
      <c r="B64"/>
      <c r="C64"/>
      <c r="D64"/>
      <c r="E64"/>
      <c r="F64"/>
      <c r="G64" s="280"/>
      <c r="H64" s="285"/>
      <c r="I64" s="280"/>
      <c r="AI64" s="314"/>
    </row>
    <row r="65" spans="1:9">
      <c r="A65"/>
      <c r="B65"/>
      <c r="C65"/>
      <c r="D65"/>
      <c r="E65"/>
      <c r="F65"/>
      <c r="G65" s="280"/>
      <c r="H65" s="285"/>
      <c r="I65" s="280"/>
    </row>
    <row r="66" spans="1:9">
      <c r="A66"/>
      <c r="B66"/>
      <c r="C66"/>
      <c r="D66"/>
      <c r="E66"/>
      <c r="F66"/>
      <c r="G66" s="280"/>
      <c r="H66" s="285"/>
      <c r="I66" s="280"/>
    </row>
    <row r="67" spans="1:9">
      <c r="A67"/>
      <c r="B67"/>
      <c r="C67"/>
      <c r="D67"/>
      <c r="E67"/>
      <c r="F67"/>
      <c r="G67" s="280"/>
      <c r="H67" s="285"/>
      <c r="I67" s="280"/>
    </row>
    <row r="68" spans="1:9">
      <c r="A68"/>
      <c r="B68"/>
      <c r="C68"/>
      <c r="D68"/>
      <c r="E68"/>
      <c r="F68"/>
      <c r="G68" s="280"/>
      <c r="H68" s="285"/>
      <c r="I68" s="280"/>
    </row>
    <row r="69" spans="1:9">
      <c r="A69"/>
      <c r="B69"/>
      <c r="C69"/>
      <c r="D69"/>
      <c r="E69"/>
      <c r="F69"/>
      <c r="G69" s="280"/>
      <c r="H69" s="285"/>
      <c r="I69" s="280"/>
    </row>
    <row r="70" spans="1:9">
      <c r="A70"/>
      <c r="B70"/>
      <c r="C70"/>
      <c r="D70"/>
      <c r="E70"/>
      <c r="F70"/>
      <c r="G70" s="280"/>
      <c r="H70" s="285"/>
      <c r="I70" s="280"/>
    </row>
    <row r="71" spans="1:9">
      <c r="A71"/>
      <c r="B71"/>
      <c r="C71"/>
      <c r="D71"/>
      <c r="E71"/>
      <c r="F71"/>
      <c r="G71" s="280"/>
      <c r="H71" s="285"/>
      <c r="I71" s="280"/>
    </row>
    <row r="72" spans="1:9">
      <c r="A72"/>
      <c r="B72"/>
      <c r="C72"/>
      <c r="D72"/>
      <c r="E72"/>
      <c r="F72"/>
      <c r="G72" s="280"/>
      <c r="H72" s="285"/>
      <c r="I72" s="280"/>
    </row>
    <row r="73" spans="1:9">
      <c r="A73"/>
      <c r="B73"/>
      <c r="C73"/>
      <c r="D73"/>
      <c r="E73"/>
      <c r="F73"/>
      <c r="G73" s="280"/>
      <c r="H73" s="285"/>
    </row>
    <row r="74" spans="1:9">
      <c r="A74"/>
      <c r="B74"/>
      <c r="C74"/>
      <c r="D74"/>
      <c r="E74"/>
      <c r="F74"/>
      <c r="G74" s="280"/>
      <c r="H74" s="285"/>
    </row>
    <row r="75" spans="1:9">
      <c r="A75"/>
      <c r="B75"/>
      <c r="C75"/>
      <c r="D75"/>
      <c r="E75"/>
      <c r="F75"/>
      <c r="G75" s="280"/>
      <c r="H75" s="285"/>
    </row>
    <row r="76" spans="1:9">
      <c r="A76"/>
      <c r="B76"/>
      <c r="C76"/>
      <c r="D76"/>
      <c r="E76"/>
      <c r="F76"/>
      <c r="G76" s="280"/>
      <c r="H76" s="285"/>
    </row>
    <row r="77" spans="1:9">
      <c r="A77"/>
      <c r="B77"/>
      <c r="C77"/>
      <c r="D77"/>
      <c r="E77"/>
      <c r="F77"/>
      <c r="G77" s="280"/>
      <c r="H77" s="285"/>
    </row>
    <row r="78" spans="1:9">
      <c r="A78"/>
      <c r="B78"/>
      <c r="C78"/>
      <c r="D78"/>
      <c r="E78"/>
      <c r="F78"/>
      <c r="G78" s="280"/>
      <c r="H78" s="285"/>
    </row>
    <row r="79" spans="1:9">
      <c r="A79"/>
      <c r="B79"/>
      <c r="C79"/>
      <c r="D79"/>
      <c r="E79"/>
      <c r="F79"/>
      <c r="G79" s="280"/>
      <c r="H79" s="285"/>
    </row>
    <row r="80" spans="1:9">
      <c r="A80"/>
      <c r="B80"/>
      <c r="C80"/>
      <c r="D80"/>
      <c r="E80"/>
      <c r="F80"/>
      <c r="G80" s="280"/>
      <c r="H80" s="285"/>
    </row>
    <row r="81" spans="1:8">
      <c r="A81"/>
      <c r="B81"/>
      <c r="C81"/>
      <c r="D81"/>
      <c r="E81"/>
      <c r="F81"/>
      <c r="G81" s="280"/>
      <c r="H81" s="285"/>
    </row>
    <row r="82" spans="1:8">
      <c r="A82"/>
      <c r="B82"/>
      <c r="C82"/>
      <c r="D82"/>
      <c r="E82"/>
      <c r="F82"/>
      <c r="G82" s="280"/>
      <c r="H82" s="285"/>
    </row>
    <row r="83" spans="1:8">
      <c r="A83"/>
      <c r="B83"/>
      <c r="C83"/>
      <c r="D83"/>
      <c r="E83"/>
      <c r="F83"/>
      <c r="G83" s="280"/>
      <c r="H83" s="285"/>
    </row>
    <row r="84" spans="1:8">
      <c r="A84"/>
      <c r="B84"/>
      <c r="C84"/>
      <c r="D84"/>
      <c r="E84"/>
      <c r="F84"/>
      <c r="G84" s="280"/>
      <c r="H84" s="285"/>
    </row>
    <row r="85" spans="1:8">
      <c r="A85"/>
      <c r="B85"/>
      <c r="C85"/>
      <c r="D85"/>
      <c r="E85"/>
      <c r="F85"/>
      <c r="G85" s="280"/>
      <c r="H85" s="285"/>
    </row>
    <row r="86" spans="1:8">
      <c r="A86"/>
      <c r="B86"/>
      <c r="C86"/>
      <c r="D86"/>
      <c r="E86"/>
      <c r="F86"/>
    </row>
    <row r="87" spans="1:8">
      <c r="A87"/>
      <c r="B87"/>
      <c r="C87"/>
      <c r="D87"/>
      <c r="E87"/>
      <c r="F87"/>
    </row>
    <row r="88" spans="1:8">
      <c r="A88"/>
      <c r="B88"/>
      <c r="C88"/>
      <c r="D88"/>
      <c r="E88"/>
      <c r="F88"/>
    </row>
    <row r="89" spans="1:8">
      <c r="A89"/>
      <c r="B89"/>
      <c r="C89"/>
      <c r="D89"/>
      <c r="E89"/>
      <c r="F89"/>
    </row>
    <row r="90" spans="1:8">
      <c r="A90"/>
      <c r="B90"/>
      <c r="C90"/>
      <c r="D90"/>
      <c r="E90"/>
      <c r="F90"/>
    </row>
    <row r="91" spans="1:8">
      <c r="A91"/>
      <c r="B91"/>
      <c r="C91"/>
      <c r="D91"/>
      <c r="E91"/>
      <c r="F91"/>
    </row>
    <row r="92" spans="1:8">
      <c r="A92"/>
      <c r="B92"/>
      <c r="C92"/>
      <c r="D92"/>
      <c r="E92"/>
      <c r="F92"/>
    </row>
    <row r="93" spans="1:8">
      <c r="A93"/>
      <c r="B93"/>
      <c r="C93"/>
      <c r="D93"/>
      <c r="E93"/>
      <c r="F93"/>
    </row>
    <row r="94" spans="1:8">
      <c r="A94"/>
      <c r="B94"/>
      <c r="C94"/>
      <c r="D94"/>
      <c r="E94"/>
      <c r="F94"/>
    </row>
    <row r="95" spans="1:8">
      <c r="A95"/>
      <c r="B95"/>
      <c r="C95"/>
      <c r="D95"/>
      <c r="E95"/>
      <c r="F95"/>
    </row>
    <row r="96" spans="1:8">
      <c r="A96"/>
      <c r="B96"/>
      <c r="C96"/>
      <c r="D96"/>
      <c r="E96"/>
      <c r="F96"/>
    </row>
    <row r="97" spans="1:6">
      <c r="A97"/>
      <c r="B97"/>
      <c r="C97"/>
      <c r="D97"/>
      <c r="E97"/>
      <c r="F97"/>
    </row>
    <row r="98" spans="1:6">
      <c r="A98"/>
      <c r="B98"/>
      <c r="C98"/>
      <c r="D98"/>
      <c r="E98"/>
      <c r="F98"/>
    </row>
    <row r="99" spans="1:6">
      <c r="A99"/>
      <c r="B99"/>
      <c r="C99"/>
      <c r="D99"/>
      <c r="E99"/>
      <c r="F99"/>
    </row>
    <row r="100" spans="1:6">
      <c r="A100"/>
      <c r="B100"/>
      <c r="C100"/>
      <c r="D100"/>
      <c r="E100"/>
      <c r="F100"/>
    </row>
    <row r="101" spans="1:6">
      <c r="A101"/>
      <c r="B101"/>
      <c r="C101"/>
      <c r="D101"/>
      <c r="E101"/>
      <c r="F101"/>
    </row>
    <row r="102" spans="1:6">
      <c r="A102"/>
      <c r="B102"/>
      <c r="C102"/>
      <c r="D102"/>
      <c r="E102"/>
      <c r="F102"/>
    </row>
    <row r="103" spans="1:6">
      <c r="A103"/>
      <c r="B103"/>
      <c r="C103"/>
      <c r="D103"/>
      <c r="E103"/>
      <c r="F103"/>
    </row>
    <row r="104" spans="1:6">
      <c r="A104"/>
      <c r="B104"/>
      <c r="C104"/>
      <c r="D104"/>
      <c r="E104"/>
      <c r="F104"/>
    </row>
    <row r="105" spans="1:6">
      <c r="A105"/>
      <c r="B105"/>
      <c r="C105"/>
      <c r="D105"/>
      <c r="E105"/>
      <c r="F105"/>
    </row>
    <row r="106" spans="1:6">
      <c r="A106"/>
      <c r="B106"/>
      <c r="C106"/>
      <c r="D106"/>
      <c r="E106"/>
      <c r="F106"/>
    </row>
    <row r="107" spans="1:6">
      <c r="A107"/>
      <c r="B107"/>
      <c r="C107"/>
      <c r="D107"/>
      <c r="E107"/>
      <c r="F107"/>
    </row>
    <row r="108" spans="1:6">
      <c r="A108"/>
      <c r="B108"/>
      <c r="C108"/>
      <c r="D108"/>
      <c r="E108"/>
      <c r="F108"/>
    </row>
    <row r="109" spans="1:6">
      <c r="A109"/>
      <c r="B109"/>
      <c r="C109"/>
      <c r="D109"/>
      <c r="E109"/>
      <c r="F109"/>
    </row>
    <row r="110" spans="1:6">
      <c r="A110"/>
      <c r="B110"/>
      <c r="C110"/>
      <c r="D110"/>
      <c r="E110"/>
      <c r="F110"/>
    </row>
    <row r="111" spans="1:6">
      <c r="A111"/>
      <c r="B111"/>
      <c r="C111"/>
      <c r="D111"/>
      <c r="E111"/>
      <c r="F111"/>
    </row>
    <row r="112" spans="1:6">
      <c r="A112"/>
      <c r="B112"/>
      <c r="C112"/>
      <c r="D112"/>
      <c r="E112"/>
      <c r="F112"/>
    </row>
    <row r="113" spans="1:6">
      <c r="A113"/>
      <c r="B113"/>
      <c r="C113"/>
      <c r="D113"/>
      <c r="E113"/>
      <c r="F113"/>
    </row>
    <row r="114" spans="1:6">
      <c r="A114"/>
      <c r="B114"/>
      <c r="C114"/>
      <c r="D114"/>
      <c r="E114"/>
      <c r="F114"/>
    </row>
    <row r="115" spans="1:6">
      <c r="A115"/>
      <c r="B115"/>
      <c r="C115"/>
      <c r="D115"/>
      <c r="E115"/>
      <c r="F115"/>
    </row>
    <row r="116" spans="1:6">
      <c r="A116"/>
      <c r="B116"/>
      <c r="C116"/>
      <c r="D116"/>
      <c r="E116"/>
      <c r="F116"/>
    </row>
    <row r="117" spans="1:6">
      <c r="A117"/>
      <c r="B117"/>
      <c r="C117"/>
      <c r="D117"/>
      <c r="E117"/>
      <c r="F117"/>
    </row>
    <row r="118" spans="1:6">
      <c r="A118"/>
      <c r="B118"/>
      <c r="C118"/>
      <c r="D118"/>
      <c r="E118"/>
      <c r="F118"/>
    </row>
    <row r="119" spans="1:6">
      <c r="A119"/>
      <c r="B119"/>
      <c r="C119"/>
      <c r="D119"/>
      <c r="E119"/>
      <c r="F119"/>
    </row>
    <row r="120" spans="1:6">
      <c r="A120"/>
      <c r="B120"/>
      <c r="C120"/>
      <c r="D120"/>
      <c r="E120"/>
      <c r="F120"/>
    </row>
    <row r="121" spans="1:6">
      <c r="A121"/>
      <c r="B121"/>
      <c r="C121"/>
      <c r="D121"/>
      <c r="E121"/>
      <c r="F121"/>
    </row>
    <row r="122" spans="1:6">
      <c r="A122"/>
      <c r="B122"/>
      <c r="C122"/>
      <c r="D122"/>
      <c r="E122"/>
      <c r="F122"/>
    </row>
    <row r="123" spans="1:6">
      <c r="A123"/>
      <c r="B123"/>
      <c r="C123"/>
      <c r="D123"/>
      <c r="E123"/>
      <c r="F123"/>
    </row>
    <row r="124" spans="1:6">
      <c r="A124"/>
      <c r="B124"/>
      <c r="C124"/>
      <c r="D124"/>
      <c r="E124"/>
      <c r="F124"/>
    </row>
    <row r="125" spans="1:6">
      <c r="A125"/>
      <c r="B125"/>
      <c r="C125"/>
      <c r="D125"/>
      <c r="E125"/>
      <c r="F125"/>
    </row>
    <row r="126" spans="1:6">
      <c r="A126"/>
      <c r="B126"/>
      <c r="C126"/>
      <c r="D126"/>
      <c r="E126"/>
      <c r="F126"/>
    </row>
    <row r="127" spans="1:6">
      <c r="A127"/>
      <c r="B127"/>
      <c r="C127"/>
      <c r="D127"/>
      <c r="E127"/>
      <c r="F127"/>
    </row>
    <row r="128" spans="1:6">
      <c r="A128"/>
      <c r="B128"/>
      <c r="C128"/>
      <c r="D128"/>
      <c r="E128"/>
      <c r="F128"/>
    </row>
    <row r="129" spans="1:6">
      <c r="A129"/>
      <c r="B129"/>
      <c r="C129"/>
      <c r="D129"/>
      <c r="E129"/>
      <c r="F129"/>
    </row>
    <row r="130" spans="1:6">
      <c r="A130"/>
      <c r="B130"/>
      <c r="C130"/>
      <c r="D130"/>
      <c r="E130"/>
      <c r="F130"/>
    </row>
    <row r="131" spans="1:6">
      <c r="A131"/>
      <c r="B131"/>
      <c r="C131"/>
      <c r="D131"/>
      <c r="E131"/>
      <c r="F131"/>
    </row>
    <row r="132" spans="1:6">
      <c r="A132"/>
      <c r="B132"/>
      <c r="C132"/>
      <c r="D132"/>
      <c r="E132"/>
      <c r="F132"/>
    </row>
    <row r="133" spans="1:6">
      <c r="A133"/>
      <c r="B133"/>
      <c r="C133"/>
      <c r="D133"/>
      <c r="E133"/>
      <c r="F133"/>
    </row>
    <row r="134" spans="1:6">
      <c r="A134"/>
      <c r="B134"/>
      <c r="C134"/>
      <c r="D134"/>
      <c r="E134"/>
      <c r="F134"/>
    </row>
    <row r="135" spans="1:6">
      <c r="A135"/>
      <c r="B135"/>
      <c r="C135"/>
      <c r="D135"/>
      <c r="E135"/>
      <c r="F135"/>
    </row>
  </sheetData>
  <conditionalFormatting sqref="G11 F12:G12 H11:H1048576 F1:H9 G10:H10">
    <cfRule type="cellIs" dxfId="1662" priority="10253" operator="lessThan">
      <formula>0</formula>
    </cfRule>
  </conditionalFormatting>
  <conditionalFormatting sqref="H86:H1048576 F1:H9 F12:G12 G10:G11">
    <cfRule type="cellIs" dxfId="1661" priority="10250" operator="lessThan">
      <formula>0</formula>
    </cfRule>
    <cfRule type="cellIs" dxfId="1660" priority="10251" operator="lessThan">
      <formula>0</formula>
    </cfRule>
  </conditionalFormatting>
  <conditionalFormatting sqref="F136:G1048576 G86:G135">
    <cfRule type="cellIs" dxfId="1659" priority="5886" operator="lessThan">
      <formula>0</formula>
    </cfRule>
  </conditionalFormatting>
  <conditionalFormatting sqref="F136:G1048576 G86:G135">
    <cfRule type="cellIs" dxfId="1658" priority="5885" operator="lessThan">
      <formula>0</formula>
    </cfRule>
  </conditionalFormatting>
  <conditionalFormatting sqref="F136:G1048576 G86:G135">
    <cfRule type="cellIs" dxfId="1657" priority="5883" operator="lessThan">
      <formula>0</formula>
    </cfRule>
    <cfRule type="cellIs" dxfId="1656" priority="5884" operator="lessThan">
      <formula>0</formula>
    </cfRule>
  </conditionalFormatting>
  <conditionalFormatting sqref="F136:G1048576 G86:G135">
    <cfRule type="cellIs" dxfId="1655" priority="5882" operator="lessThan">
      <formula>0</formula>
    </cfRule>
  </conditionalFormatting>
  <conditionalFormatting sqref="F136:G1048576 G86:G135">
    <cfRule type="cellIs" dxfId="1654" priority="5881" operator="lessThan">
      <formula>0</formula>
    </cfRule>
  </conditionalFormatting>
  <conditionalFormatting sqref="F136:G1048576 G86:G135">
    <cfRule type="cellIs" dxfId="1653" priority="5880" operator="lessThan">
      <formula>0</formula>
    </cfRule>
  </conditionalFormatting>
  <conditionalFormatting sqref="F136:G1048576 G86:G135">
    <cfRule type="cellIs" dxfId="1652" priority="5879" operator="lessThan">
      <formula>0</formula>
    </cfRule>
  </conditionalFormatting>
  <conditionalFormatting sqref="F136:G1048576 G86:G135">
    <cfRule type="cellIs" dxfId="1651" priority="5878" operator="lessThan">
      <formula>0</formula>
    </cfRule>
  </conditionalFormatting>
  <conditionalFormatting sqref="F136:G1048576 G86:G135">
    <cfRule type="cellIs" dxfId="1650" priority="5877" operator="lessThan">
      <formula>0</formula>
    </cfRule>
  </conditionalFormatting>
  <conditionalFormatting sqref="F136:G1048576 G86:G135">
    <cfRule type="cellIs" dxfId="1649" priority="5876" operator="lessThan">
      <formula>0</formula>
    </cfRule>
  </conditionalFormatting>
  <conditionalFormatting sqref="F136:G1048576 G86:G135">
    <cfRule type="cellIs" dxfId="1648" priority="5875" operator="lessThan">
      <formula>0</formula>
    </cfRule>
  </conditionalFormatting>
  <conditionalFormatting sqref="F136:G1048576 G86:G135">
    <cfRule type="cellIs" dxfId="1647" priority="5874" operator="lessThan">
      <formula>0</formula>
    </cfRule>
  </conditionalFormatting>
  <conditionalFormatting sqref="F136:G1048576 G86:G135">
    <cfRule type="cellIs" dxfId="1646" priority="5873" operator="lessThan">
      <formula>0</formula>
    </cfRule>
  </conditionalFormatting>
  <conditionalFormatting sqref="F136:G1048576 G86:G135">
    <cfRule type="cellIs" dxfId="1645" priority="5872" operator="lessThan">
      <formula>0</formula>
    </cfRule>
  </conditionalFormatting>
  <conditionalFormatting sqref="F136:G1048576 G86:G135">
    <cfRule type="cellIs" dxfId="1644" priority="5871" operator="lessThan">
      <formula>0</formula>
    </cfRule>
  </conditionalFormatting>
  <conditionalFormatting sqref="F136:G1048576 G86:G135">
    <cfRule type="cellIs" dxfId="1643" priority="5870" operator="lessThan">
      <formula>0</formula>
    </cfRule>
  </conditionalFormatting>
  <conditionalFormatting sqref="F136:G1048576 G86:G135">
    <cfRule type="cellIs" dxfId="1642" priority="5869" operator="lessThan">
      <formula>0</formula>
    </cfRule>
  </conditionalFormatting>
  <conditionalFormatting sqref="F136:G1048576 G86:G135">
    <cfRule type="cellIs" dxfId="1641" priority="5868" operator="lessThan">
      <formula>0</formula>
    </cfRule>
  </conditionalFormatting>
  <conditionalFormatting sqref="F136:G1048576 G86:G135">
    <cfRule type="cellIs" dxfId="1640" priority="5867" operator="lessThan">
      <formula>0</formula>
    </cfRule>
  </conditionalFormatting>
  <conditionalFormatting sqref="F136:G1048576 G86:G135">
    <cfRule type="cellIs" dxfId="1639" priority="5866" operator="lessThan">
      <formula>0</formula>
    </cfRule>
  </conditionalFormatting>
  <conditionalFormatting sqref="F136:G1048576 G86:G135">
    <cfRule type="cellIs" dxfId="1638" priority="5865" operator="lessThan">
      <formula>0</formula>
    </cfRule>
  </conditionalFormatting>
  <conditionalFormatting sqref="F136:G1048576 G86:G135">
    <cfRule type="cellIs" dxfId="1637" priority="5864" operator="lessThan">
      <formula>0</formula>
    </cfRule>
  </conditionalFormatting>
  <conditionalFormatting sqref="F136:G1048576 G86:G135">
    <cfRule type="cellIs" dxfId="1636" priority="5863" operator="lessThan">
      <formula>0</formula>
    </cfRule>
  </conditionalFormatting>
  <conditionalFormatting sqref="F136:G1048576 G86:G135">
    <cfRule type="cellIs" dxfId="1635" priority="5862" operator="lessThan">
      <formula>0</formula>
    </cfRule>
  </conditionalFormatting>
  <conditionalFormatting sqref="F136:G1048576 G86:G135">
    <cfRule type="cellIs" dxfId="1634" priority="5861" operator="lessThan">
      <formula>0</formula>
    </cfRule>
  </conditionalFormatting>
  <conditionalFormatting sqref="F136:G1048576 G86:G135">
    <cfRule type="cellIs" dxfId="1633" priority="5860" operator="lessThan">
      <formula>0</formula>
    </cfRule>
  </conditionalFormatting>
  <conditionalFormatting sqref="F136:G1048576 G86:G135">
    <cfRule type="cellIs" dxfId="1632" priority="5859" operator="lessThan">
      <formula>0</formula>
    </cfRule>
  </conditionalFormatting>
  <conditionalFormatting sqref="F136:G1048576 G86:G135">
    <cfRule type="cellIs" dxfId="1631" priority="5858" operator="lessThan">
      <formula>0</formula>
    </cfRule>
  </conditionalFormatting>
  <conditionalFormatting sqref="F136:G1048576 G86:G135">
    <cfRule type="cellIs" dxfId="1630" priority="5857" operator="lessThan">
      <formula>0</formula>
    </cfRule>
  </conditionalFormatting>
  <conditionalFormatting sqref="F136:G1048576 G86:G135">
    <cfRule type="cellIs" dxfId="1629" priority="5856" operator="lessThan">
      <formula>0</formula>
    </cfRule>
  </conditionalFormatting>
  <conditionalFormatting sqref="F136:G1048576 G86:G135">
    <cfRule type="cellIs" dxfId="1628" priority="5855" operator="lessThan">
      <formula>0</formula>
    </cfRule>
  </conditionalFormatting>
  <conditionalFormatting sqref="F136:G1048576 G86:G135">
    <cfRule type="cellIs" dxfId="1627" priority="5854" operator="lessThan">
      <formula>0</formula>
    </cfRule>
  </conditionalFormatting>
  <conditionalFormatting sqref="F136:G1048576 G86:G135">
    <cfRule type="cellIs" dxfId="1626" priority="5853" operator="lessThan">
      <formula>0</formula>
    </cfRule>
  </conditionalFormatting>
  <conditionalFormatting sqref="F136:G1048576 G86:G135">
    <cfRule type="cellIs" dxfId="1625" priority="5852" operator="lessThan">
      <formula>0</formula>
    </cfRule>
  </conditionalFormatting>
  <conditionalFormatting sqref="F136:G1048576 G86:G135">
    <cfRule type="cellIs" dxfId="1624" priority="5851" operator="lessThan">
      <formula>0</formula>
    </cfRule>
  </conditionalFormatting>
  <conditionalFormatting sqref="F136:G1048576 G86:G135">
    <cfRule type="cellIs" dxfId="1623" priority="5850" operator="lessThan">
      <formula>0</formula>
    </cfRule>
  </conditionalFormatting>
  <conditionalFormatting sqref="F136:G1048576 G86:G135">
    <cfRule type="cellIs" dxfId="1622" priority="5849" operator="lessThan">
      <formula>0</formula>
    </cfRule>
  </conditionalFormatting>
  <conditionalFormatting sqref="F136:G1048576 G86:G135">
    <cfRule type="cellIs" dxfId="1621" priority="5848" operator="lessThan">
      <formula>0</formula>
    </cfRule>
  </conditionalFormatting>
  <conditionalFormatting sqref="F136:G1048576 G86:G135">
    <cfRule type="cellIs" dxfId="1620" priority="5847" operator="lessThan">
      <formula>0</formula>
    </cfRule>
  </conditionalFormatting>
  <conditionalFormatting sqref="F136:G1048576 G86:G135">
    <cfRule type="cellIs" dxfId="1619" priority="5846" operator="lessThan">
      <formula>0</formula>
    </cfRule>
  </conditionalFormatting>
  <conditionalFormatting sqref="F136:G1048576 G86:G135">
    <cfRule type="cellIs" dxfId="1618" priority="5845" operator="lessThan">
      <formula>0</formula>
    </cfRule>
  </conditionalFormatting>
  <conditionalFormatting sqref="F136:G1048576 G86:G135">
    <cfRule type="cellIs" dxfId="1617" priority="5844" operator="lessThan">
      <formula>0</formula>
    </cfRule>
  </conditionalFormatting>
  <conditionalFormatting sqref="F136:G1048576 G86:G135">
    <cfRule type="cellIs" dxfId="1616" priority="5843" operator="lessThan">
      <formula>0</formula>
    </cfRule>
  </conditionalFormatting>
  <conditionalFormatting sqref="F136:G1048576 G86:G135">
    <cfRule type="cellIs" dxfId="1615" priority="5842" operator="lessThan">
      <formula>0</formula>
    </cfRule>
  </conditionalFormatting>
  <conditionalFormatting sqref="F136:G1048576 G86:G135">
    <cfRule type="cellIs" dxfId="1614" priority="5841" operator="lessThan">
      <formula>0</formula>
    </cfRule>
  </conditionalFormatting>
  <conditionalFormatting sqref="F136:G1048576 G86:G135">
    <cfRule type="cellIs" dxfId="1613" priority="5840" operator="lessThan">
      <formula>0</formula>
    </cfRule>
  </conditionalFormatting>
  <conditionalFormatting sqref="F136:G1048576 G86:G135">
    <cfRule type="cellIs" dxfId="1612" priority="5839" operator="lessThan">
      <formula>0</formula>
    </cfRule>
  </conditionalFormatting>
  <conditionalFormatting sqref="F136:G1048576 G86:G135">
    <cfRule type="cellIs" dxfId="1611" priority="5838" operator="lessThan">
      <formula>0</formula>
    </cfRule>
  </conditionalFormatting>
  <conditionalFormatting sqref="F136:G1048576 G86:G135">
    <cfRule type="cellIs" dxfId="1610" priority="5837" operator="lessThan">
      <formula>0</formula>
    </cfRule>
  </conditionalFormatting>
  <conditionalFormatting sqref="F136:G1048576 G86:G135">
    <cfRule type="cellIs" dxfId="1609" priority="5836" operator="lessThan">
      <formula>0</formula>
    </cfRule>
  </conditionalFormatting>
  <conditionalFormatting sqref="F136:G1048576 G86:G135">
    <cfRule type="cellIs" dxfId="1608" priority="5835" operator="lessThan">
      <formula>0</formula>
    </cfRule>
  </conditionalFormatting>
  <conditionalFormatting sqref="F136:G1048576 G86:G135">
    <cfRule type="cellIs" dxfId="1607" priority="5834" operator="lessThan">
      <formula>0</formula>
    </cfRule>
  </conditionalFormatting>
  <conditionalFormatting sqref="F136:G1048576 G86:G135">
    <cfRule type="cellIs" dxfId="1606" priority="5833" operator="lessThan">
      <formula>0</formula>
    </cfRule>
  </conditionalFormatting>
  <conditionalFormatting sqref="F136:G1048576 G86:G135">
    <cfRule type="cellIs" dxfId="1605" priority="5832" operator="lessThan">
      <formula>0</formula>
    </cfRule>
  </conditionalFormatting>
  <conditionalFormatting sqref="F136:G1048576 G86:G135">
    <cfRule type="cellIs" dxfId="1604" priority="5831" operator="lessThan">
      <formula>0</formula>
    </cfRule>
  </conditionalFormatting>
  <conditionalFormatting sqref="F136:G1048576 G86:G135">
    <cfRule type="cellIs" dxfId="1603" priority="5830" operator="lessThan">
      <formula>0</formula>
    </cfRule>
  </conditionalFormatting>
  <conditionalFormatting sqref="F136:G1048576 G86:G135">
    <cfRule type="cellIs" dxfId="1602" priority="5829" operator="lessThan">
      <formula>0</formula>
    </cfRule>
  </conditionalFormatting>
  <conditionalFormatting sqref="F136:G1048576 G86:G135">
    <cfRule type="cellIs" dxfId="1601" priority="5828" operator="lessThan">
      <formula>0</formula>
    </cfRule>
  </conditionalFormatting>
  <conditionalFormatting sqref="F136:G1048576 G86:G135">
    <cfRule type="cellIs" dxfId="1600" priority="5827" operator="lessThan">
      <formula>0</formula>
    </cfRule>
  </conditionalFormatting>
  <conditionalFormatting sqref="F136:G1048576 G86:G135">
    <cfRule type="cellIs" dxfId="1599" priority="5826" operator="lessThan">
      <formula>0</formula>
    </cfRule>
  </conditionalFormatting>
  <conditionalFormatting sqref="F136:G1048576 G86:G135">
    <cfRule type="cellIs" dxfId="1598" priority="5825" operator="lessThan">
      <formula>0</formula>
    </cfRule>
  </conditionalFormatting>
  <conditionalFormatting sqref="F136:G1048576 G86:G135">
    <cfRule type="cellIs" dxfId="1597" priority="5824" operator="lessThan">
      <formula>0</formula>
    </cfRule>
  </conditionalFormatting>
  <conditionalFormatting sqref="F136:G1048576 G86:G135">
    <cfRule type="cellIs" dxfId="1596" priority="5823" operator="lessThan">
      <formula>0</formula>
    </cfRule>
  </conditionalFormatting>
  <conditionalFormatting sqref="F136:G1048576 G86:G135">
    <cfRule type="cellIs" dxfId="1595" priority="5822" operator="lessThan">
      <formula>0</formula>
    </cfRule>
  </conditionalFormatting>
  <conditionalFormatting sqref="F136:G1048576 G86:G135">
    <cfRule type="cellIs" dxfId="1594" priority="5821" operator="lessThan">
      <formula>0</formula>
    </cfRule>
  </conditionalFormatting>
  <conditionalFormatting sqref="F136:G1048576 G86:G135">
    <cfRule type="cellIs" dxfId="1593" priority="5820" operator="lessThan">
      <formula>0</formula>
    </cfRule>
  </conditionalFormatting>
  <conditionalFormatting sqref="F136:G1048576 G86:G135">
    <cfRule type="cellIs" dxfId="1592" priority="5819" operator="lessThan">
      <formula>0</formula>
    </cfRule>
  </conditionalFormatting>
  <conditionalFormatting sqref="F136:G1048576 G86:G135">
    <cfRule type="cellIs" dxfId="1591" priority="5818" operator="lessThan">
      <formula>0</formula>
    </cfRule>
  </conditionalFormatting>
  <conditionalFormatting sqref="F136:G1048576 G86:G135">
    <cfRule type="cellIs" dxfId="1590" priority="5817" operator="lessThan">
      <formula>0</formula>
    </cfRule>
  </conditionalFormatting>
  <conditionalFormatting sqref="F136:G1048576 G86:G135">
    <cfRule type="cellIs" dxfId="1589" priority="5816" operator="lessThan">
      <formula>0</formula>
    </cfRule>
  </conditionalFormatting>
  <conditionalFormatting sqref="F136:G1048576 G86:G135">
    <cfRule type="cellIs" dxfId="1588" priority="5815" operator="lessThan">
      <formula>0</formula>
    </cfRule>
  </conditionalFormatting>
  <conditionalFormatting sqref="F136:G1048576 G86:G135">
    <cfRule type="cellIs" dxfId="1587" priority="5814" operator="lessThan">
      <formula>0</formula>
    </cfRule>
  </conditionalFormatting>
  <conditionalFormatting sqref="F136:G1048576 G86:G135">
    <cfRule type="cellIs" dxfId="1586" priority="5813" operator="lessThan">
      <formula>0</formula>
    </cfRule>
  </conditionalFormatting>
  <conditionalFormatting sqref="F136:G1048576 G86:G135">
    <cfRule type="cellIs" dxfId="1585" priority="5812" operator="lessThan">
      <formula>0</formula>
    </cfRule>
  </conditionalFormatting>
  <conditionalFormatting sqref="F136:G1048576 G86:G135">
    <cfRule type="cellIs" dxfId="1584" priority="5811" operator="lessThan">
      <formula>0</formula>
    </cfRule>
  </conditionalFormatting>
  <conditionalFormatting sqref="F136:G1048576 G86:G135">
    <cfRule type="cellIs" dxfId="1583" priority="5810" operator="lessThan">
      <formula>0</formula>
    </cfRule>
  </conditionalFormatting>
  <conditionalFormatting sqref="F136:G1048576 G86:G135">
    <cfRule type="cellIs" dxfId="1582" priority="5809" operator="lessThan">
      <formula>0</formula>
    </cfRule>
  </conditionalFormatting>
  <conditionalFormatting sqref="F136:G1048576 G86:G135">
    <cfRule type="cellIs" dxfId="1581" priority="5808" operator="lessThan">
      <formula>0</formula>
    </cfRule>
  </conditionalFormatting>
  <conditionalFormatting sqref="F136:G1048576 G86:G135">
    <cfRule type="cellIs" dxfId="1580" priority="5807" operator="lessThan">
      <formula>0</formula>
    </cfRule>
  </conditionalFormatting>
  <conditionalFormatting sqref="F136:G1048576 G86:G135">
    <cfRule type="cellIs" dxfId="1579" priority="5806" operator="lessThan">
      <formula>0</formula>
    </cfRule>
  </conditionalFormatting>
  <conditionalFormatting sqref="F136:G1048576 G86:G135">
    <cfRule type="cellIs" dxfId="1578" priority="5805" operator="lessThan">
      <formula>0</formula>
    </cfRule>
  </conditionalFormatting>
  <conditionalFormatting sqref="F136:G1048576 G86:G135">
    <cfRule type="cellIs" dxfId="1577" priority="5804" operator="lessThan">
      <formula>0</formula>
    </cfRule>
  </conditionalFormatting>
  <conditionalFormatting sqref="F136:G1048576 G86:G135">
    <cfRule type="cellIs" dxfId="1576" priority="5803" operator="lessThan">
      <formula>0</formula>
    </cfRule>
  </conditionalFormatting>
  <conditionalFormatting sqref="F136:G1048576 G86:G135">
    <cfRule type="cellIs" dxfId="1575" priority="5802" operator="lessThan">
      <formula>0</formula>
    </cfRule>
  </conditionalFormatting>
  <conditionalFormatting sqref="F136:G1048576 G86:G135">
    <cfRule type="cellIs" dxfId="1574" priority="5801" operator="lessThan">
      <formula>0</formula>
    </cfRule>
  </conditionalFormatting>
  <conditionalFormatting sqref="F136:G1048576 G86:G135">
    <cfRule type="cellIs" dxfId="1573" priority="5800" operator="lessThan">
      <formula>0</formula>
    </cfRule>
  </conditionalFormatting>
  <conditionalFormatting sqref="F136:G1048576 G86:G135">
    <cfRule type="cellIs" dxfId="1572" priority="5799" operator="lessThan">
      <formula>0</formula>
    </cfRule>
  </conditionalFormatting>
  <conditionalFormatting sqref="F136:G1048576 G86:G135">
    <cfRule type="cellIs" dxfId="1571" priority="5798" operator="lessThan">
      <formula>0</formula>
    </cfRule>
  </conditionalFormatting>
  <conditionalFormatting sqref="F136:G1048576 G86:G135">
    <cfRule type="cellIs" dxfId="1570" priority="5797" operator="lessThan">
      <formula>0</formula>
    </cfRule>
  </conditionalFormatting>
  <conditionalFormatting sqref="F136:G1048576 G86:G135">
    <cfRule type="cellIs" dxfId="1569" priority="5796" operator="lessThan">
      <formula>0</formula>
    </cfRule>
  </conditionalFormatting>
  <conditionalFormatting sqref="F136:G1048576 G86:G135">
    <cfRule type="cellIs" dxfId="1568" priority="5795" operator="lessThan">
      <formula>0</formula>
    </cfRule>
  </conditionalFormatting>
  <conditionalFormatting sqref="F136:G1048576 G86:G135">
    <cfRule type="cellIs" dxfId="1567" priority="5794" operator="lessThan">
      <formula>0</formula>
    </cfRule>
  </conditionalFormatting>
  <conditionalFormatting sqref="F136:G1048576 G86:G135">
    <cfRule type="cellIs" dxfId="1566" priority="5793" operator="lessThan">
      <formula>0</formula>
    </cfRule>
  </conditionalFormatting>
  <conditionalFormatting sqref="F136:G1048576 G86:G135">
    <cfRule type="cellIs" dxfId="1565" priority="5792" operator="lessThan">
      <formula>0</formula>
    </cfRule>
  </conditionalFormatting>
  <conditionalFormatting sqref="F136:G1048576 G86:G135">
    <cfRule type="cellIs" dxfId="1564" priority="5791" operator="lessThan">
      <formula>0</formula>
    </cfRule>
  </conditionalFormatting>
  <conditionalFormatting sqref="F136:G1048576 G86:G135">
    <cfRule type="cellIs" dxfId="1563" priority="5790" operator="lessThan">
      <formula>0</formula>
    </cfRule>
  </conditionalFormatting>
  <conditionalFormatting sqref="F136:G1048576 G86:G135">
    <cfRule type="cellIs" dxfId="1562" priority="5789" operator="lessThan">
      <formula>0</formula>
    </cfRule>
  </conditionalFormatting>
  <conditionalFormatting sqref="F136:G1048576 G86:G135">
    <cfRule type="cellIs" dxfId="1561" priority="5788" operator="lessThan">
      <formula>0</formula>
    </cfRule>
  </conditionalFormatting>
  <conditionalFormatting sqref="F136:G1048576 G86:G135">
    <cfRule type="cellIs" dxfId="1560" priority="5787" operator="lessThan">
      <formula>0</formula>
    </cfRule>
  </conditionalFormatting>
  <conditionalFormatting sqref="F136:G1048576 G86:G135">
    <cfRule type="cellIs" dxfId="1559" priority="5786" operator="lessThan">
      <formula>0</formula>
    </cfRule>
  </conditionalFormatting>
  <conditionalFormatting sqref="F136:G1048576 G86:G135">
    <cfRule type="cellIs" dxfId="1558" priority="5785" operator="lessThan">
      <formula>0</formula>
    </cfRule>
  </conditionalFormatting>
  <conditionalFormatting sqref="F136:G1048576 G86:G135">
    <cfRule type="cellIs" dxfId="1557" priority="5784" operator="lessThan">
      <formula>0</formula>
    </cfRule>
  </conditionalFormatting>
  <conditionalFormatting sqref="F136:G1048576 G86:G135">
    <cfRule type="cellIs" dxfId="1556" priority="5783" operator="lessThan">
      <formula>0</formula>
    </cfRule>
  </conditionalFormatting>
  <conditionalFormatting sqref="F136:G1048576 G86:G135">
    <cfRule type="cellIs" dxfId="1555" priority="5782" operator="lessThan">
      <formula>0</formula>
    </cfRule>
  </conditionalFormatting>
  <conditionalFormatting sqref="F136:G1048576 G86:G135">
    <cfRule type="cellIs" dxfId="1554" priority="5781" operator="lessThan">
      <formula>0</formula>
    </cfRule>
  </conditionalFormatting>
  <conditionalFormatting sqref="F136:G1048576 G86:G135">
    <cfRule type="cellIs" dxfId="1553" priority="5780" operator="lessThan">
      <formula>0</formula>
    </cfRule>
  </conditionalFormatting>
  <conditionalFormatting sqref="F136:G1048576 G86:G135">
    <cfRule type="cellIs" dxfId="1552" priority="5779" operator="lessThan">
      <formula>0</formula>
    </cfRule>
  </conditionalFormatting>
  <conditionalFormatting sqref="F136:G1048576 G86:G135">
    <cfRule type="cellIs" dxfId="1551" priority="5778" operator="lessThan">
      <formula>0</formula>
    </cfRule>
  </conditionalFormatting>
  <conditionalFormatting sqref="F136:G1048576 G86:G135">
    <cfRule type="cellIs" dxfId="1550" priority="5777" operator="lessThan">
      <formula>0</formula>
    </cfRule>
  </conditionalFormatting>
  <conditionalFormatting sqref="F136:G1048576 G86:G135">
    <cfRule type="cellIs" dxfId="1549" priority="5776" operator="lessThan">
      <formula>0</formula>
    </cfRule>
  </conditionalFormatting>
  <conditionalFormatting sqref="F136:G1048576 G86:G135">
    <cfRule type="cellIs" dxfId="1548" priority="5775" operator="lessThan">
      <formula>0</formula>
    </cfRule>
  </conditionalFormatting>
  <conditionalFormatting sqref="F136:G1048576 G86:G135">
    <cfRule type="cellIs" dxfId="1547" priority="5774" operator="lessThan">
      <formula>0</formula>
    </cfRule>
  </conditionalFormatting>
  <conditionalFormatting sqref="F136:G1048576 G86:G135">
    <cfRule type="cellIs" dxfId="1546" priority="5773" operator="lessThan">
      <formula>0</formula>
    </cfRule>
  </conditionalFormatting>
  <conditionalFormatting sqref="F136:G1048576 G86:G135">
    <cfRule type="cellIs" dxfId="1545" priority="5772" operator="lessThan">
      <formula>0</formula>
    </cfRule>
  </conditionalFormatting>
  <conditionalFormatting sqref="F136:G1048576 G86:G135">
    <cfRule type="cellIs" dxfId="1544" priority="5771" operator="lessThan">
      <formula>0</formula>
    </cfRule>
  </conditionalFormatting>
  <conditionalFormatting sqref="F136:G1048576 G86:G135">
    <cfRule type="cellIs" dxfId="1543" priority="5770" operator="lessThan">
      <formula>0</formula>
    </cfRule>
  </conditionalFormatting>
  <conditionalFormatting sqref="F136:G1048576 G86:G135">
    <cfRule type="cellIs" dxfId="1542" priority="5769" operator="lessThan">
      <formula>0</formula>
    </cfRule>
  </conditionalFormatting>
  <conditionalFormatting sqref="F136:G1048576 G86:G135">
    <cfRule type="cellIs" dxfId="1541" priority="5768" operator="lessThan">
      <formula>0</formula>
    </cfRule>
  </conditionalFormatting>
  <conditionalFormatting sqref="F136:G1048576 G86:G135">
    <cfRule type="cellIs" dxfId="1540" priority="5767" operator="lessThan">
      <formula>0</formula>
    </cfRule>
  </conditionalFormatting>
  <conditionalFormatting sqref="F136:G1048576 G86:G135">
    <cfRule type="cellIs" dxfId="1539" priority="5766" operator="lessThan">
      <formula>0</formula>
    </cfRule>
  </conditionalFormatting>
  <conditionalFormatting sqref="F136:G1048576 G86:G135">
    <cfRule type="cellIs" dxfId="1538" priority="5765" operator="lessThan">
      <formula>0</formula>
    </cfRule>
  </conditionalFormatting>
  <conditionalFormatting sqref="F136:G1048576 G86:G135">
    <cfRule type="cellIs" dxfId="1537" priority="5764" operator="lessThan">
      <formula>0</formula>
    </cfRule>
  </conditionalFormatting>
  <conditionalFormatting sqref="F136:G1048576 G86:G135">
    <cfRule type="cellIs" dxfId="1536" priority="5763" operator="lessThan">
      <formula>0</formula>
    </cfRule>
  </conditionalFormatting>
  <conditionalFormatting sqref="F136:G1048576 G86:G135">
    <cfRule type="cellIs" dxfId="1535" priority="5762" operator="lessThan">
      <formula>0</formula>
    </cfRule>
  </conditionalFormatting>
  <conditionalFormatting sqref="F136:G1048576 G86:G135">
    <cfRule type="cellIs" dxfId="1534" priority="5761" operator="lessThan">
      <formula>0</formula>
    </cfRule>
  </conditionalFormatting>
  <conditionalFormatting sqref="F136:G1048576 G86:G135">
    <cfRule type="cellIs" dxfId="1533" priority="5760" operator="lessThan">
      <formula>0</formula>
    </cfRule>
  </conditionalFormatting>
  <conditionalFormatting sqref="F136:G1048576 G86:G135">
    <cfRule type="cellIs" dxfId="1532" priority="5759" operator="lessThan">
      <formula>0</formula>
    </cfRule>
  </conditionalFormatting>
  <conditionalFormatting sqref="F136:G1048576 G86:G135">
    <cfRule type="cellIs" dxfId="1531" priority="5758" operator="lessThan">
      <formula>0</formula>
    </cfRule>
  </conditionalFormatting>
  <conditionalFormatting sqref="F136:G1048576 G86:G135">
    <cfRule type="cellIs" dxfId="1530" priority="5757" operator="lessThan">
      <formula>0</formula>
    </cfRule>
  </conditionalFormatting>
  <conditionalFormatting sqref="F136:G1048576 G86:G135">
    <cfRule type="cellIs" dxfId="1529" priority="5756" operator="lessThan">
      <formula>0</formula>
    </cfRule>
  </conditionalFormatting>
  <conditionalFormatting sqref="F136:G1048576 G86:G135">
    <cfRule type="cellIs" dxfId="1528" priority="5755" operator="lessThan">
      <formula>0</formula>
    </cfRule>
  </conditionalFormatting>
  <conditionalFormatting sqref="F136:G1048576 G86:G135">
    <cfRule type="cellIs" dxfId="1527" priority="5754" operator="lessThan">
      <formula>0</formula>
    </cfRule>
  </conditionalFormatting>
  <conditionalFormatting sqref="F136:G1048576 G86:G135">
    <cfRule type="cellIs" dxfId="1526" priority="5753" operator="lessThan">
      <formula>0</formula>
    </cfRule>
  </conditionalFormatting>
  <conditionalFormatting sqref="F136:G1048576 G86:G135">
    <cfRule type="cellIs" dxfId="1525" priority="5752" operator="lessThan">
      <formula>0</formula>
    </cfRule>
  </conditionalFormatting>
  <conditionalFormatting sqref="F136:G1048576 G86:G135">
    <cfRule type="cellIs" dxfId="1524" priority="5751" operator="lessThan">
      <formula>0</formula>
    </cfRule>
  </conditionalFormatting>
  <conditionalFormatting sqref="F136:G1048576 G86:G135">
    <cfRule type="cellIs" dxfId="1523" priority="5750" operator="lessThan">
      <formula>0</formula>
    </cfRule>
  </conditionalFormatting>
  <conditionalFormatting sqref="F136:G1048576 G86:G135">
    <cfRule type="cellIs" dxfId="1522" priority="5749" operator="lessThan">
      <formula>0</formula>
    </cfRule>
  </conditionalFormatting>
  <conditionalFormatting sqref="F136:G1048576 G86:G135">
    <cfRule type="cellIs" dxfId="1521" priority="5748" operator="lessThan">
      <formula>0</formula>
    </cfRule>
  </conditionalFormatting>
  <conditionalFormatting sqref="F136:G1048576 G86:G135">
    <cfRule type="cellIs" dxfId="1520" priority="5747" operator="lessThan">
      <formula>0</formula>
    </cfRule>
  </conditionalFormatting>
  <conditionalFormatting sqref="F136:G1048576 G86:G135">
    <cfRule type="cellIs" dxfId="1519" priority="5746" operator="lessThan">
      <formula>0</formula>
    </cfRule>
  </conditionalFormatting>
  <conditionalFormatting sqref="F136:G1048576 G86:G135">
    <cfRule type="cellIs" dxfId="1518" priority="5745" operator="lessThan">
      <formula>0</formula>
    </cfRule>
  </conditionalFormatting>
  <conditionalFormatting sqref="F136:G1048576 G86:G135">
    <cfRule type="cellIs" dxfId="1517" priority="5744" operator="lessThan">
      <formula>0</formula>
    </cfRule>
  </conditionalFormatting>
  <conditionalFormatting sqref="F136:G1048576 G86:G135">
    <cfRule type="cellIs" dxfId="1516" priority="5743" operator="lessThan">
      <formula>0</formula>
    </cfRule>
  </conditionalFormatting>
  <conditionalFormatting sqref="F136:G1048576 G86:G135">
    <cfRule type="cellIs" dxfId="1515" priority="5742" operator="lessThan">
      <formula>0</formula>
    </cfRule>
  </conditionalFormatting>
  <conditionalFormatting sqref="F136:G1048576 G86:G135">
    <cfRule type="cellIs" dxfId="1514" priority="5741" operator="lessThan">
      <formula>0</formula>
    </cfRule>
  </conditionalFormatting>
  <conditionalFormatting sqref="F136:G1048576 G86:G135">
    <cfRule type="cellIs" dxfId="1513" priority="5740" operator="lessThan">
      <formula>0</formula>
    </cfRule>
  </conditionalFormatting>
  <conditionalFormatting sqref="F136:G1048576 G86:G135">
    <cfRule type="cellIs" dxfId="1512" priority="5739" operator="lessThan">
      <formula>0</formula>
    </cfRule>
  </conditionalFormatting>
  <conditionalFormatting sqref="F136:G1048576 G86:G135">
    <cfRule type="cellIs" dxfId="1511" priority="5738" operator="lessThan">
      <formula>0</formula>
    </cfRule>
  </conditionalFormatting>
  <conditionalFormatting sqref="F136:G1048576 G86:G135">
    <cfRule type="cellIs" dxfId="1510" priority="5737" operator="lessThan">
      <formula>0</formula>
    </cfRule>
  </conditionalFormatting>
  <conditionalFormatting sqref="F136:G1048576 G86:G135">
    <cfRule type="cellIs" dxfId="1509" priority="5736" operator="lessThan">
      <formula>0</formula>
    </cfRule>
  </conditionalFormatting>
  <conditionalFormatting sqref="F136:G1048576 G86:G135">
    <cfRule type="cellIs" dxfId="1508" priority="5735" operator="lessThan">
      <formula>0</formula>
    </cfRule>
  </conditionalFormatting>
  <conditionalFormatting sqref="F136:G1048576 G86:G135">
    <cfRule type="cellIs" dxfId="1507" priority="5734" operator="lessThan">
      <formula>0</formula>
    </cfRule>
  </conditionalFormatting>
  <conditionalFormatting sqref="F136:G1048576 G86:G135">
    <cfRule type="cellIs" dxfId="1506" priority="5733" operator="lessThan">
      <formula>0</formula>
    </cfRule>
  </conditionalFormatting>
  <conditionalFormatting sqref="F136:G1048576 G86:G135">
    <cfRule type="cellIs" dxfId="1505" priority="5732" operator="lessThan">
      <formula>0</formula>
    </cfRule>
  </conditionalFormatting>
  <conditionalFormatting sqref="F136:G1048576 G86:G135">
    <cfRule type="cellIs" dxfId="1504" priority="5731" operator="lessThan">
      <formula>0</formula>
    </cfRule>
  </conditionalFormatting>
  <conditionalFormatting sqref="F136:G1048576 G86:G135">
    <cfRule type="cellIs" dxfId="1503" priority="5730" operator="lessThan">
      <formula>0</formula>
    </cfRule>
  </conditionalFormatting>
  <conditionalFormatting sqref="F136:G1048576 G86:G135">
    <cfRule type="cellIs" dxfId="1502" priority="5729" operator="lessThan">
      <formula>0</formula>
    </cfRule>
  </conditionalFormatting>
  <conditionalFormatting sqref="F136:G1048576 G86:G135">
    <cfRule type="cellIs" dxfId="1501" priority="5728" operator="lessThan">
      <formula>0</formula>
    </cfRule>
  </conditionalFormatting>
  <conditionalFormatting sqref="F136:G1048576 G86:G135">
    <cfRule type="cellIs" dxfId="1500" priority="5727" operator="lessThan">
      <formula>0</formula>
    </cfRule>
  </conditionalFormatting>
  <conditionalFormatting sqref="F136:G1048576 G86:G135">
    <cfRule type="cellIs" dxfId="1499" priority="5726" operator="lessThan">
      <formula>0</formula>
    </cfRule>
  </conditionalFormatting>
  <conditionalFormatting sqref="F136:G1048576 G86:G135">
    <cfRule type="cellIs" dxfId="1498" priority="5725" operator="lessThan">
      <formula>0</formula>
    </cfRule>
  </conditionalFormatting>
  <conditionalFormatting sqref="F136:G1048576 G86:G135">
    <cfRule type="cellIs" dxfId="1497" priority="5724" operator="lessThan">
      <formula>0</formula>
    </cfRule>
  </conditionalFormatting>
  <conditionalFormatting sqref="F136:G1048576 G86:G135">
    <cfRule type="cellIs" dxfId="1496" priority="5723" operator="lessThan">
      <formula>0</formula>
    </cfRule>
  </conditionalFormatting>
  <conditionalFormatting sqref="F136:G1048576 G86:G135">
    <cfRule type="cellIs" dxfId="1495" priority="5722" operator="lessThan">
      <formula>0</formula>
    </cfRule>
  </conditionalFormatting>
  <conditionalFormatting sqref="F136:G1048576 G86:G135">
    <cfRule type="cellIs" dxfId="1494" priority="5721" operator="lessThan">
      <formula>0</formula>
    </cfRule>
  </conditionalFormatting>
  <conditionalFormatting sqref="F136:G1048576 G86:G135">
    <cfRule type="cellIs" dxfId="1493" priority="5720" operator="lessThan">
      <formula>0</formula>
    </cfRule>
  </conditionalFormatting>
  <conditionalFormatting sqref="F136:G1048576 G86:G135">
    <cfRule type="cellIs" dxfId="1492" priority="5719" operator="lessThan">
      <formula>0</formula>
    </cfRule>
  </conditionalFormatting>
  <conditionalFormatting sqref="F136:G1048576 G86:G135">
    <cfRule type="cellIs" dxfId="1491" priority="5718" operator="lessThan">
      <formula>0</formula>
    </cfRule>
  </conditionalFormatting>
  <conditionalFormatting sqref="F136:G1048576 G86:G135">
    <cfRule type="cellIs" dxfId="1490" priority="5717" operator="lessThan">
      <formula>0</formula>
    </cfRule>
  </conditionalFormatting>
  <conditionalFormatting sqref="F136:G1048576 G86:G135">
    <cfRule type="cellIs" dxfId="1489" priority="5716" operator="lessThan">
      <formula>0</formula>
    </cfRule>
  </conditionalFormatting>
  <conditionalFormatting sqref="F136:G1048576 G86:G135">
    <cfRule type="cellIs" dxfId="1488" priority="5715" operator="lessThan">
      <formula>0</formula>
    </cfRule>
  </conditionalFormatting>
  <conditionalFormatting sqref="F136:G1048576 G86:G135">
    <cfRule type="cellIs" dxfId="1487" priority="5714" operator="lessThan">
      <formula>0</formula>
    </cfRule>
  </conditionalFormatting>
  <conditionalFormatting sqref="F136:G1048576 G86:G135">
    <cfRule type="cellIs" dxfId="1486" priority="5713" operator="lessThan">
      <formula>0</formula>
    </cfRule>
  </conditionalFormatting>
  <conditionalFormatting sqref="F136:G1048576 G86:G135">
    <cfRule type="cellIs" dxfId="1485" priority="5712" operator="lessThan">
      <formula>0</formula>
    </cfRule>
  </conditionalFormatting>
  <conditionalFormatting sqref="F136:G1048576 G86:G135">
    <cfRule type="cellIs" dxfId="1484" priority="5711" operator="lessThan">
      <formula>0</formula>
    </cfRule>
  </conditionalFormatting>
  <conditionalFormatting sqref="F136:G1048576 G86:G135">
    <cfRule type="cellIs" dxfId="1483" priority="5710" operator="lessThan">
      <formula>0</formula>
    </cfRule>
  </conditionalFormatting>
  <conditionalFormatting sqref="F136:G1048576 G86:G135">
    <cfRule type="cellIs" dxfId="1482" priority="5709" operator="lessThan">
      <formula>0</formula>
    </cfRule>
  </conditionalFormatting>
  <conditionalFormatting sqref="F136:G1048576 G86:G135">
    <cfRule type="cellIs" dxfId="1481" priority="5708" operator="lessThan">
      <formula>0</formula>
    </cfRule>
  </conditionalFormatting>
  <conditionalFormatting sqref="F136:G1048576 G86:G135">
    <cfRule type="cellIs" dxfId="1480" priority="5707" operator="lessThan">
      <formula>0</formula>
    </cfRule>
  </conditionalFormatting>
  <conditionalFormatting sqref="F136:G1048576 G86:G135">
    <cfRule type="cellIs" dxfId="1479" priority="5706" operator="lessThan">
      <formula>0</formula>
    </cfRule>
  </conditionalFormatting>
  <conditionalFormatting sqref="F136:G1048576 G86:G135">
    <cfRule type="cellIs" dxfId="1478" priority="5705" operator="lessThan">
      <formula>0</formula>
    </cfRule>
  </conditionalFormatting>
  <conditionalFormatting sqref="F136:G1048576 G86:G135">
    <cfRule type="cellIs" dxfId="1477" priority="5704" operator="lessThan">
      <formula>0</formula>
    </cfRule>
  </conditionalFormatting>
  <conditionalFormatting sqref="F136:G1048576 G86:G135">
    <cfRule type="cellIs" dxfId="1476" priority="5703" operator="lessThan">
      <formula>0</formula>
    </cfRule>
  </conditionalFormatting>
  <conditionalFormatting sqref="F136:G1048576 G86:G135">
    <cfRule type="cellIs" dxfId="1475" priority="5702" operator="lessThan">
      <formula>0</formula>
    </cfRule>
  </conditionalFormatting>
  <conditionalFormatting sqref="F136:G1048576 G86:G135">
    <cfRule type="cellIs" dxfId="1474" priority="5701" operator="lessThan">
      <formula>0</formula>
    </cfRule>
  </conditionalFormatting>
  <conditionalFormatting sqref="F136:G1048576 G86:G135">
    <cfRule type="cellIs" dxfId="1473" priority="5700" operator="lessThan">
      <formula>0</formula>
    </cfRule>
  </conditionalFormatting>
  <conditionalFormatting sqref="F136:G1048576 G86:G135">
    <cfRule type="cellIs" dxfId="1472" priority="5699" operator="lessThan">
      <formula>0</formula>
    </cfRule>
  </conditionalFormatting>
  <conditionalFormatting sqref="F136:G1048576 G86:G135">
    <cfRule type="cellIs" dxfId="1471" priority="5698" operator="lessThan">
      <formula>0</formula>
    </cfRule>
  </conditionalFormatting>
  <conditionalFormatting sqref="F136:G1048576 G86:G135">
    <cfRule type="cellIs" dxfId="1470" priority="5697" operator="lessThan">
      <formula>0</formula>
    </cfRule>
  </conditionalFormatting>
  <conditionalFormatting sqref="F136:G1048576 G86:G135">
    <cfRule type="cellIs" dxfId="1469" priority="5696" operator="lessThan">
      <formula>0</formula>
    </cfRule>
  </conditionalFormatting>
  <conditionalFormatting sqref="F136:G1048576 G86:G135">
    <cfRule type="cellIs" dxfId="1468" priority="5695" operator="lessThan">
      <formula>0</formula>
    </cfRule>
  </conditionalFormatting>
  <conditionalFormatting sqref="F136:G1048576 G86:G135">
    <cfRule type="cellIs" dxfId="1467" priority="5694" operator="lessThan">
      <formula>0</formula>
    </cfRule>
  </conditionalFormatting>
  <conditionalFormatting sqref="F136:G1048576 G86:G135">
    <cfRule type="cellIs" dxfId="1466" priority="5693" operator="lessThan">
      <formula>0</formula>
    </cfRule>
  </conditionalFormatting>
  <conditionalFormatting sqref="F136:G1048576 G86:G135">
    <cfRule type="cellIs" dxfId="1465" priority="5692" operator="lessThan">
      <formula>0</formula>
    </cfRule>
  </conditionalFormatting>
  <conditionalFormatting sqref="F136:G1048576 G86:G135">
    <cfRule type="cellIs" dxfId="1464" priority="5691" operator="lessThan">
      <formula>0</formula>
    </cfRule>
  </conditionalFormatting>
  <conditionalFormatting sqref="F136:G1048576 G86:G135">
    <cfRule type="cellIs" dxfId="1463" priority="5690" operator="lessThan">
      <formula>0</formula>
    </cfRule>
  </conditionalFormatting>
  <conditionalFormatting sqref="F136:G1048576 G86:G135">
    <cfRule type="cellIs" dxfId="1462" priority="5689" operator="lessThan">
      <formula>0</formula>
    </cfRule>
  </conditionalFormatting>
  <conditionalFormatting sqref="F136:G1048576 G86:G135">
    <cfRule type="cellIs" dxfId="1461" priority="5688" operator="lessThan">
      <formula>0</formula>
    </cfRule>
  </conditionalFormatting>
  <conditionalFormatting sqref="F136:G1048576 G86:G135">
    <cfRule type="cellIs" dxfId="1460" priority="5687" operator="lessThan">
      <formula>0</formula>
    </cfRule>
  </conditionalFormatting>
  <conditionalFormatting sqref="F136:G1048576 G86:G135">
    <cfRule type="cellIs" dxfId="1459" priority="5686" operator="lessThan">
      <formula>0</formula>
    </cfRule>
  </conditionalFormatting>
  <conditionalFormatting sqref="F136:G1048576 G86:G135">
    <cfRule type="cellIs" dxfId="1458" priority="5685" operator="lessThan">
      <formula>0</formula>
    </cfRule>
  </conditionalFormatting>
  <conditionalFormatting sqref="F136:G1048576 G86:G135">
    <cfRule type="cellIs" dxfId="1457" priority="5684" operator="lessThan">
      <formula>0</formula>
    </cfRule>
  </conditionalFormatting>
  <conditionalFormatting sqref="F136:G1048576 G86:G135">
    <cfRule type="cellIs" dxfId="1456" priority="5683" operator="lessThan">
      <formula>0</formula>
    </cfRule>
  </conditionalFormatting>
  <conditionalFormatting sqref="F136:G1048576 G86:G135">
    <cfRule type="cellIs" dxfId="1455" priority="5682" operator="lessThan">
      <formula>0</formula>
    </cfRule>
  </conditionalFormatting>
  <conditionalFormatting sqref="F136:G1048576 G86:G135">
    <cfRule type="cellIs" dxfId="1454" priority="5681" operator="lessThan">
      <formula>0</formula>
    </cfRule>
  </conditionalFormatting>
  <conditionalFormatting sqref="F136:G1048576 G86:G135">
    <cfRule type="cellIs" dxfId="1453" priority="5680" operator="lessThan">
      <formula>0</formula>
    </cfRule>
  </conditionalFormatting>
  <conditionalFormatting sqref="F136:G1048576 G86:G135">
    <cfRule type="cellIs" dxfId="1452" priority="5679" operator="lessThan">
      <formula>0</formula>
    </cfRule>
  </conditionalFormatting>
  <conditionalFormatting sqref="F136:G1048576 G86:G135">
    <cfRule type="cellIs" dxfId="1451" priority="5678" operator="lessThan">
      <formula>0</formula>
    </cfRule>
  </conditionalFormatting>
  <conditionalFormatting sqref="F136:G1048576 G86:G135">
    <cfRule type="cellIs" dxfId="1450" priority="5677" operator="lessThan">
      <formula>0</formula>
    </cfRule>
  </conditionalFormatting>
  <conditionalFormatting sqref="F136:G1048576 G86:G135">
    <cfRule type="cellIs" dxfId="1449" priority="5676" operator="lessThan">
      <formula>0</formula>
    </cfRule>
  </conditionalFormatting>
  <conditionalFormatting sqref="F136:G1048576 G86:G135">
    <cfRule type="cellIs" dxfId="1448" priority="5675" operator="lessThan">
      <formula>0</formula>
    </cfRule>
  </conditionalFormatting>
  <conditionalFormatting sqref="F136:G1048576 G86:G135">
    <cfRule type="cellIs" dxfId="1447" priority="5674" operator="lessThan">
      <formula>0</formula>
    </cfRule>
  </conditionalFormatting>
  <conditionalFormatting sqref="F136:G1048576 G86:G135">
    <cfRule type="cellIs" dxfId="1446" priority="5673" operator="lessThan">
      <formula>0</formula>
    </cfRule>
  </conditionalFormatting>
  <conditionalFormatting sqref="F136:G1048576 G86:G135">
    <cfRule type="cellIs" dxfId="1445" priority="5672" operator="lessThan">
      <formula>0</formula>
    </cfRule>
  </conditionalFormatting>
  <conditionalFormatting sqref="F136:G1048576 G86:G135">
    <cfRule type="cellIs" dxfId="1444" priority="5671" operator="lessThan">
      <formula>0</formula>
    </cfRule>
  </conditionalFormatting>
  <conditionalFormatting sqref="F136:G1048576 G86:G135">
    <cfRule type="cellIs" dxfId="1443" priority="5670" operator="lessThan">
      <formula>0</formula>
    </cfRule>
  </conditionalFormatting>
  <conditionalFormatting sqref="F136:G1048576 G86:G135">
    <cfRule type="cellIs" dxfId="1442" priority="5669" operator="lessThan">
      <formula>0</formula>
    </cfRule>
  </conditionalFormatting>
  <conditionalFormatting sqref="F136:G1048576 G86:G135">
    <cfRule type="cellIs" dxfId="1441" priority="5668" operator="lessThan">
      <formula>0</formula>
    </cfRule>
  </conditionalFormatting>
  <conditionalFormatting sqref="F136:G1048576 G86:G135">
    <cfRule type="cellIs" dxfId="1440" priority="5667" operator="lessThan">
      <formula>0</formula>
    </cfRule>
  </conditionalFormatting>
  <conditionalFormatting sqref="F136:G1048576 G86:G135">
    <cfRule type="cellIs" dxfId="1439" priority="5666" operator="lessThan">
      <formula>0</formula>
    </cfRule>
  </conditionalFormatting>
  <conditionalFormatting sqref="F136:G1048576 G86:G135">
    <cfRule type="cellIs" dxfId="1438" priority="5665" operator="lessThan">
      <formula>0</formula>
    </cfRule>
  </conditionalFormatting>
  <conditionalFormatting sqref="F136:G1048576 G86:G135">
    <cfRule type="cellIs" dxfId="1437" priority="5664" operator="lessThan">
      <formula>0</formula>
    </cfRule>
  </conditionalFormatting>
  <conditionalFormatting sqref="F136:G1048576 G86:G135">
    <cfRule type="cellIs" dxfId="1436" priority="5663" operator="lessThan">
      <formula>0</formula>
    </cfRule>
  </conditionalFormatting>
  <conditionalFormatting sqref="F136:G1048576 G86:G135">
    <cfRule type="cellIs" dxfId="1435" priority="5662" operator="lessThan">
      <formula>0</formula>
    </cfRule>
  </conditionalFormatting>
  <conditionalFormatting sqref="F136:G1048576 G86:G135">
    <cfRule type="cellIs" dxfId="1434" priority="5661" operator="lessThan">
      <formula>0</formula>
    </cfRule>
  </conditionalFormatting>
  <conditionalFormatting sqref="F136:G1048576 G86:G135">
    <cfRule type="cellIs" dxfId="1433" priority="5660" operator="lessThan">
      <formula>0</formula>
    </cfRule>
  </conditionalFormatting>
  <conditionalFormatting sqref="F136:G1048576 G86:G135">
    <cfRule type="cellIs" dxfId="1432" priority="5659" operator="lessThan">
      <formula>0</formula>
    </cfRule>
  </conditionalFormatting>
  <conditionalFormatting sqref="F136:G1048576 G86:G135">
    <cfRule type="cellIs" dxfId="1431" priority="5658" operator="lessThan">
      <formula>0</formula>
    </cfRule>
  </conditionalFormatting>
  <conditionalFormatting sqref="F136:G1048576 G86:G135">
    <cfRule type="cellIs" dxfId="1430" priority="5657" operator="lessThan">
      <formula>0</formula>
    </cfRule>
  </conditionalFormatting>
  <conditionalFormatting sqref="F136:G1048576 G86:G135">
    <cfRule type="cellIs" dxfId="1429" priority="5656" operator="lessThan">
      <formula>0</formula>
    </cfRule>
  </conditionalFormatting>
  <conditionalFormatting sqref="F136:G1048576 G86:G135">
    <cfRule type="cellIs" dxfId="1428" priority="5655" operator="lessThan">
      <formula>0</formula>
    </cfRule>
  </conditionalFormatting>
  <conditionalFormatting sqref="F136:G1048576 G86:G135">
    <cfRule type="cellIs" dxfId="1427" priority="5654" operator="lessThan">
      <formula>0</formula>
    </cfRule>
  </conditionalFormatting>
  <conditionalFormatting sqref="F136:G1048576 G86:G135">
    <cfRule type="cellIs" dxfId="1426" priority="5653" operator="lessThan">
      <formula>0</formula>
    </cfRule>
  </conditionalFormatting>
  <conditionalFormatting sqref="F136:G1048576 G86:G135">
    <cfRule type="cellIs" dxfId="1425" priority="5652" operator="lessThan">
      <formula>0</formula>
    </cfRule>
  </conditionalFormatting>
  <conditionalFormatting sqref="F136:G1048576 G86:G135">
    <cfRule type="cellIs" dxfId="1424" priority="5651" operator="lessThan">
      <formula>0</formula>
    </cfRule>
  </conditionalFormatting>
  <conditionalFormatting sqref="F136:G1048576 G86:G135">
    <cfRule type="cellIs" dxfId="1423" priority="5650" operator="lessThan">
      <formula>0</formula>
    </cfRule>
  </conditionalFormatting>
  <conditionalFormatting sqref="F136:G1048576 G86:G135">
    <cfRule type="cellIs" dxfId="1422" priority="5649" operator="lessThan">
      <formula>0</formula>
    </cfRule>
  </conditionalFormatting>
  <conditionalFormatting sqref="F136:G1048576 G86:G135">
    <cfRule type="cellIs" dxfId="1421" priority="5648" operator="lessThan">
      <formula>0</formula>
    </cfRule>
  </conditionalFormatting>
  <conditionalFormatting sqref="F136:G1048576 G86:G135">
    <cfRule type="cellIs" dxfId="1420" priority="5647" operator="lessThan">
      <formula>0</formula>
    </cfRule>
  </conditionalFormatting>
  <conditionalFormatting sqref="F136:G1048576 G86:G135">
    <cfRule type="cellIs" dxfId="1419" priority="5646" operator="lessThan">
      <formula>0</formula>
    </cfRule>
  </conditionalFormatting>
  <conditionalFormatting sqref="F136:G1048576 G86:G135">
    <cfRule type="cellIs" dxfId="1418" priority="5645" operator="lessThan">
      <formula>0</formula>
    </cfRule>
  </conditionalFormatting>
  <conditionalFormatting sqref="F136:G1048576 G86:G135">
    <cfRule type="cellIs" dxfId="1417" priority="5644" operator="lessThan">
      <formula>0</formula>
    </cfRule>
  </conditionalFormatting>
  <conditionalFormatting sqref="F136:G1048576 G86:G135">
    <cfRule type="cellIs" dxfId="1416" priority="5643" operator="lessThan">
      <formula>0</formula>
    </cfRule>
  </conditionalFormatting>
  <conditionalFormatting sqref="F136:G1048576 G86:G135">
    <cfRule type="cellIs" dxfId="1415" priority="5642" operator="lessThan">
      <formula>0</formula>
    </cfRule>
  </conditionalFormatting>
  <conditionalFormatting sqref="F136:G1048576 G86:G135">
    <cfRule type="cellIs" dxfId="1414" priority="5641" operator="lessThan">
      <formula>0</formula>
    </cfRule>
  </conditionalFormatting>
  <conditionalFormatting sqref="F136:G1048576 G86:G135">
    <cfRule type="cellIs" dxfId="1413" priority="5640" operator="lessThan">
      <formula>0</formula>
    </cfRule>
  </conditionalFormatting>
  <conditionalFormatting sqref="F136:G1048576 G86:G135">
    <cfRule type="cellIs" dxfId="1412" priority="5639" operator="lessThan">
      <formula>0</formula>
    </cfRule>
  </conditionalFormatting>
  <conditionalFormatting sqref="F136:G1048576 G86:G135">
    <cfRule type="cellIs" dxfId="1411" priority="5638" operator="lessThan">
      <formula>0</formula>
    </cfRule>
  </conditionalFormatting>
  <conditionalFormatting sqref="F136:G1048576 G86:G135">
    <cfRule type="cellIs" dxfId="1410" priority="5637" operator="lessThan">
      <formula>0</formula>
    </cfRule>
  </conditionalFormatting>
  <conditionalFormatting sqref="F136:G1048576 G86:G135">
    <cfRule type="cellIs" dxfId="1409" priority="5636" operator="lessThan">
      <formula>0</formula>
    </cfRule>
  </conditionalFormatting>
  <conditionalFormatting sqref="F136:G1048576 G86:G135">
    <cfRule type="cellIs" dxfId="1408" priority="5635" operator="lessThan">
      <formula>0</formula>
    </cfRule>
  </conditionalFormatting>
  <conditionalFormatting sqref="F136:G1048576 G86:G135">
    <cfRule type="cellIs" dxfId="1407" priority="5634" operator="lessThan">
      <formula>0</formula>
    </cfRule>
  </conditionalFormatting>
  <conditionalFormatting sqref="F136:G1048576 G86:G135">
    <cfRule type="cellIs" dxfId="1406" priority="5633" operator="lessThan">
      <formula>0</formula>
    </cfRule>
  </conditionalFormatting>
  <conditionalFormatting sqref="F136:G1048576 G86:G135">
    <cfRule type="cellIs" dxfId="1405" priority="5632" operator="lessThan">
      <formula>0</formula>
    </cfRule>
  </conditionalFormatting>
  <conditionalFormatting sqref="F136:G1048576 G86:G135">
    <cfRule type="cellIs" dxfId="1404" priority="5631" operator="lessThan">
      <formula>0</formula>
    </cfRule>
  </conditionalFormatting>
  <conditionalFormatting sqref="F136:G1048576 G61:G135">
    <cfRule type="cellIs" dxfId="1403" priority="5630" operator="lessThan">
      <formula>0</formula>
    </cfRule>
  </conditionalFormatting>
  <conditionalFormatting sqref="F136:G1048576 G61:G135">
    <cfRule type="cellIs" dxfId="1402" priority="5629" operator="lessThan">
      <formula>0</formula>
    </cfRule>
  </conditionalFormatting>
  <conditionalFormatting sqref="F136:G1048576 G61:G135">
    <cfRule type="cellIs" dxfId="1401" priority="5628" operator="lessThan">
      <formula>0</formula>
    </cfRule>
  </conditionalFormatting>
  <conditionalFormatting sqref="F136:G1048576 G61:G135">
    <cfRule type="cellIs" dxfId="1400" priority="5627" operator="lessThan">
      <formula>0</formula>
    </cfRule>
  </conditionalFormatting>
  <conditionalFormatting sqref="F136:G1048576 G61:G135">
    <cfRule type="cellIs" dxfId="1399" priority="5626" operator="lessThan">
      <formula>0</formula>
    </cfRule>
  </conditionalFormatting>
  <conditionalFormatting sqref="F136:G1048576 G61:G135">
    <cfRule type="cellIs" dxfId="1398" priority="5625" operator="lessThan">
      <formula>0</formula>
    </cfRule>
  </conditionalFormatting>
  <conditionalFormatting sqref="F136:G1048576 G61:G135">
    <cfRule type="cellIs" dxfId="1397" priority="5624" operator="lessThan">
      <formula>0</formula>
    </cfRule>
  </conditionalFormatting>
  <conditionalFormatting sqref="F136:G1048576 G61:G135">
    <cfRule type="cellIs" dxfId="1396" priority="5623" operator="lessThan">
      <formula>0</formula>
    </cfRule>
  </conditionalFormatting>
  <conditionalFormatting sqref="F136:G1048576 G61:G135">
    <cfRule type="cellIs" dxfId="1395" priority="5622" operator="lessThan">
      <formula>0</formula>
    </cfRule>
  </conditionalFormatting>
  <conditionalFormatting sqref="F136:G1048576 G61:G135">
    <cfRule type="cellIs" dxfId="1394" priority="5621" operator="lessThan">
      <formula>0</formula>
    </cfRule>
  </conditionalFormatting>
  <conditionalFormatting sqref="F136:G1048576 G61:G135">
    <cfRule type="cellIs" dxfId="1393" priority="5620" operator="lessThan">
      <formula>0</formula>
    </cfRule>
  </conditionalFormatting>
  <conditionalFormatting sqref="F136:G1048576 G61:G135">
    <cfRule type="cellIs" dxfId="1392" priority="5619" operator="lessThan">
      <formula>0</formula>
    </cfRule>
  </conditionalFormatting>
  <conditionalFormatting sqref="F136:G1048576 G61:G135">
    <cfRule type="cellIs" dxfId="1391" priority="5618" operator="lessThan">
      <formula>0</formula>
    </cfRule>
  </conditionalFormatting>
  <conditionalFormatting sqref="F136:G1048576 G61:G135">
    <cfRule type="cellIs" dxfId="1390" priority="5617" operator="lessThan">
      <formula>0</formula>
    </cfRule>
  </conditionalFormatting>
  <conditionalFormatting sqref="F136:G1048576 G61:G135">
    <cfRule type="cellIs" dxfId="1389" priority="5616" operator="lessThan">
      <formula>0</formula>
    </cfRule>
  </conditionalFormatting>
  <conditionalFormatting sqref="F136:G1048576 G61:G135">
    <cfRule type="cellIs" dxfId="1388" priority="5615" operator="lessThan">
      <formula>0</formula>
    </cfRule>
  </conditionalFormatting>
  <conditionalFormatting sqref="F136:G1048576 G61:G135">
    <cfRule type="cellIs" dxfId="1387" priority="5614" operator="lessThan">
      <formula>0</formula>
    </cfRule>
  </conditionalFormatting>
  <conditionalFormatting sqref="F136:G1048576 G61:G135">
    <cfRule type="cellIs" dxfId="1386" priority="5613" operator="lessThan">
      <formula>0</formula>
    </cfRule>
  </conditionalFormatting>
  <conditionalFormatting sqref="F136:G1048576 G61:G135">
    <cfRule type="cellIs" dxfId="1385" priority="5612" operator="lessThan">
      <formula>0</formula>
    </cfRule>
  </conditionalFormatting>
  <conditionalFormatting sqref="F136:G1048576 G61:G135">
    <cfRule type="cellIs" dxfId="1384" priority="5611" operator="lessThan">
      <formula>0</formula>
    </cfRule>
  </conditionalFormatting>
  <conditionalFormatting sqref="F136:G1048576 G61:G135">
    <cfRule type="cellIs" dxfId="1383" priority="5610" operator="lessThan">
      <formula>0</formula>
    </cfRule>
  </conditionalFormatting>
  <conditionalFormatting sqref="F136:G1048576 G61:G135">
    <cfRule type="cellIs" dxfId="1382" priority="5609" operator="lessThan">
      <formula>0</formula>
    </cfRule>
  </conditionalFormatting>
  <conditionalFormatting sqref="F136:G1048576 G61:G135">
    <cfRule type="cellIs" dxfId="1381" priority="5608" operator="lessThan">
      <formula>0</formula>
    </cfRule>
  </conditionalFormatting>
  <conditionalFormatting sqref="F136:G1048576 G61:G135">
    <cfRule type="cellIs" dxfId="1380" priority="5607" operator="lessThan">
      <formula>0</formula>
    </cfRule>
  </conditionalFormatting>
  <conditionalFormatting sqref="F136:G1048576 G61:G135">
    <cfRule type="cellIs" dxfId="1379" priority="5606" operator="lessThan">
      <formula>0</formula>
    </cfRule>
  </conditionalFormatting>
  <conditionalFormatting sqref="F136:G1048576 G61:G135">
    <cfRule type="cellIs" dxfId="1378" priority="5605" operator="lessThan">
      <formula>0</formula>
    </cfRule>
  </conditionalFormatting>
  <conditionalFormatting sqref="F136:G1048576 G61:G135">
    <cfRule type="cellIs" dxfId="1377" priority="5604" operator="lessThan">
      <formula>0</formula>
    </cfRule>
  </conditionalFormatting>
  <conditionalFormatting sqref="F136:G1048576 G61:G135">
    <cfRule type="cellIs" dxfId="1376" priority="5603" operator="lessThan">
      <formula>0</formula>
    </cfRule>
  </conditionalFormatting>
  <conditionalFormatting sqref="F136:G1048576 G61:G135">
    <cfRule type="cellIs" dxfId="1375" priority="5602" operator="lessThan">
      <formula>0</formula>
    </cfRule>
  </conditionalFormatting>
  <conditionalFormatting sqref="F136:G1048576 G61:G135">
    <cfRule type="cellIs" dxfId="1374" priority="5601" operator="lessThan">
      <formula>0</formula>
    </cfRule>
  </conditionalFormatting>
  <conditionalFormatting sqref="F136:G1048576 G61:G135">
    <cfRule type="cellIs" dxfId="1373" priority="5600" operator="lessThan">
      <formula>0</formula>
    </cfRule>
  </conditionalFormatting>
  <conditionalFormatting sqref="F136:G1048576 G61:G135">
    <cfRule type="cellIs" dxfId="1372" priority="5599" operator="lessThan">
      <formula>0</formula>
    </cfRule>
  </conditionalFormatting>
  <conditionalFormatting sqref="F136:G1048576 G61:G135">
    <cfRule type="cellIs" dxfId="1371" priority="5598" operator="lessThan">
      <formula>0</formula>
    </cfRule>
  </conditionalFormatting>
  <conditionalFormatting sqref="F136:G1048576 G61:G135">
    <cfRule type="cellIs" dxfId="1370" priority="5597" operator="lessThan">
      <formula>0</formula>
    </cfRule>
  </conditionalFormatting>
  <conditionalFormatting sqref="F136:G1048576 G61:G135">
    <cfRule type="cellIs" dxfId="1369" priority="5596" operator="lessThan">
      <formula>0</formula>
    </cfRule>
  </conditionalFormatting>
  <conditionalFormatting sqref="F136:G1048576 G61:G135">
    <cfRule type="cellIs" dxfId="1368" priority="5595" operator="lessThan">
      <formula>0</formula>
    </cfRule>
  </conditionalFormatting>
  <conditionalFormatting sqref="F136:G1048576 G61:G135">
    <cfRule type="cellIs" dxfId="1367" priority="5594" operator="lessThan">
      <formula>0</formula>
    </cfRule>
  </conditionalFormatting>
  <conditionalFormatting sqref="F136:G1048576 G61:G135">
    <cfRule type="cellIs" dxfId="1366" priority="5593" operator="lessThan">
      <formula>0</formula>
    </cfRule>
  </conditionalFormatting>
  <conditionalFormatting sqref="F136:G1048576 G61:G135">
    <cfRule type="cellIs" dxfId="1365" priority="5592" operator="lessThan">
      <formula>0</formula>
    </cfRule>
  </conditionalFormatting>
  <conditionalFormatting sqref="F136:G1048576 G61:G135">
    <cfRule type="cellIs" dxfId="1364" priority="5591" operator="lessThan">
      <formula>0</formula>
    </cfRule>
  </conditionalFormatting>
  <conditionalFormatting sqref="F136:G1048576 G61:G135">
    <cfRule type="cellIs" dxfId="1363" priority="5590" operator="lessThan">
      <formula>0</formula>
    </cfRule>
  </conditionalFormatting>
  <conditionalFormatting sqref="F136:G1048576 G61:G135">
    <cfRule type="cellIs" dxfId="1362" priority="5589" operator="lessThan">
      <formula>0</formula>
    </cfRule>
  </conditionalFormatting>
  <conditionalFormatting sqref="F136:G1048576 G61:G135">
    <cfRule type="cellIs" dxfId="1361" priority="5588" operator="lessThan">
      <formula>0</formula>
    </cfRule>
  </conditionalFormatting>
  <conditionalFormatting sqref="F136:G1048576 G61:G135">
    <cfRule type="cellIs" dxfId="1360" priority="5587" operator="lessThan">
      <formula>0</formula>
    </cfRule>
  </conditionalFormatting>
  <conditionalFormatting sqref="F136:G1048576 G61:G135">
    <cfRule type="cellIs" dxfId="1359" priority="5586" operator="lessThan">
      <formula>0</formula>
    </cfRule>
  </conditionalFormatting>
  <conditionalFormatting sqref="F136:G1048576 G61:G135">
    <cfRule type="cellIs" dxfId="1358" priority="5585" operator="lessThan">
      <formula>0</formula>
    </cfRule>
  </conditionalFormatting>
  <conditionalFormatting sqref="F136:G1048576 G61:G135">
    <cfRule type="cellIs" dxfId="1357" priority="5584" operator="lessThan">
      <formula>0</formula>
    </cfRule>
  </conditionalFormatting>
  <conditionalFormatting sqref="F136:G1048576 G61:G135">
    <cfRule type="cellIs" dxfId="1356" priority="5583" operator="lessThan">
      <formula>0</formula>
    </cfRule>
  </conditionalFormatting>
  <conditionalFormatting sqref="F136:G1048576 G61:G135">
    <cfRule type="cellIs" dxfId="1355" priority="5582" operator="lessThan">
      <formula>0</formula>
    </cfRule>
  </conditionalFormatting>
  <conditionalFormatting sqref="F136:G1048576 G61:G135">
    <cfRule type="cellIs" dxfId="1354" priority="5581" operator="lessThan">
      <formula>0</formula>
    </cfRule>
  </conditionalFormatting>
  <conditionalFormatting sqref="F136:G1048576 G61:G135">
    <cfRule type="cellIs" dxfId="1353" priority="5580" operator="lessThan">
      <formula>0</formula>
    </cfRule>
  </conditionalFormatting>
  <conditionalFormatting sqref="F136:G1048576 G61:G135">
    <cfRule type="cellIs" dxfId="1352" priority="5579" operator="lessThan">
      <formula>0</formula>
    </cfRule>
  </conditionalFormatting>
  <conditionalFormatting sqref="F136:G1048576 G61:G135">
    <cfRule type="cellIs" dxfId="1351" priority="5578" operator="lessThan">
      <formula>0</formula>
    </cfRule>
  </conditionalFormatting>
  <conditionalFormatting sqref="F136:G1048576 G61:G135">
    <cfRule type="cellIs" dxfId="1350" priority="5577" operator="lessThan">
      <formula>0</formula>
    </cfRule>
  </conditionalFormatting>
  <conditionalFormatting sqref="F136:G1048576 G61:G135">
    <cfRule type="cellIs" dxfId="1349" priority="5576" operator="lessThan">
      <formula>0</formula>
    </cfRule>
  </conditionalFormatting>
  <conditionalFormatting sqref="F136:G1048576 G61:G135">
    <cfRule type="cellIs" dxfId="1348" priority="5575" operator="lessThan">
      <formula>0</formula>
    </cfRule>
  </conditionalFormatting>
  <conditionalFormatting sqref="F136:G1048576 G61:G135">
    <cfRule type="cellIs" dxfId="1347" priority="5574" operator="lessThan">
      <formula>0</formula>
    </cfRule>
  </conditionalFormatting>
  <conditionalFormatting sqref="F136:G1048576 G61:G135">
    <cfRule type="cellIs" dxfId="1346" priority="5573" operator="lessThan">
      <formula>0</formula>
    </cfRule>
  </conditionalFormatting>
  <conditionalFormatting sqref="F136:G1048576 G61:G135">
    <cfRule type="cellIs" dxfId="1345" priority="5572" operator="lessThan">
      <formula>0</formula>
    </cfRule>
  </conditionalFormatting>
  <conditionalFormatting sqref="F136:G1048576 G61:G135">
    <cfRule type="cellIs" dxfId="1344" priority="5571" operator="lessThan">
      <formula>0</formula>
    </cfRule>
  </conditionalFormatting>
  <conditionalFormatting sqref="F136:G1048576 G61:G135">
    <cfRule type="cellIs" dxfId="1343" priority="5570" operator="lessThan">
      <formula>0</formula>
    </cfRule>
  </conditionalFormatting>
  <conditionalFormatting sqref="F136:G1048576 G61:G135">
    <cfRule type="cellIs" dxfId="1342" priority="5569" operator="lessThan">
      <formula>0</formula>
    </cfRule>
  </conditionalFormatting>
  <conditionalFormatting sqref="F136:G1048576 G61:G135">
    <cfRule type="cellIs" dxfId="1341" priority="5568" operator="lessThan">
      <formula>0</formula>
    </cfRule>
  </conditionalFormatting>
  <conditionalFormatting sqref="F136:G1048576 G61:G135">
    <cfRule type="cellIs" dxfId="1340" priority="5567" operator="lessThan">
      <formula>0</formula>
    </cfRule>
  </conditionalFormatting>
  <conditionalFormatting sqref="F136:G1048576 G61:G135">
    <cfRule type="cellIs" dxfId="1339" priority="5566" operator="lessThan">
      <formula>0</formula>
    </cfRule>
  </conditionalFormatting>
  <conditionalFormatting sqref="F136:G1048576 G61:G135">
    <cfRule type="cellIs" dxfId="1338" priority="5565" operator="lessThan">
      <formula>0</formula>
    </cfRule>
  </conditionalFormatting>
  <conditionalFormatting sqref="F136:G1048576 G61:G135">
    <cfRule type="cellIs" dxfId="1337" priority="5564" operator="lessThan">
      <formula>0</formula>
    </cfRule>
  </conditionalFormatting>
  <conditionalFormatting sqref="F136:G1048576 G61:G135">
    <cfRule type="cellIs" dxfId="1336" priority="5563" operator="lessThan">
      <formula>0</formula>
    </cfRule>
  </conditionalFormatting>
  <conditionalFormatting sqref="F136:G1048576 G61:G135">
    <cfRule type="cellIs" dxfId="1335" priority="5562" operator="lessThan">
      <formula>0</formula>
    </cfRule>
  </conditionalFormatting>
  <conditionalFormatting sqref="F136:G1048576 G61:G135">
    <cfRule type="cellIs" dxfId="1334" priority="5561" operator="lessThan">
      <formula>0</formula>
    </cfRule>
  </conditionalFormatting>
  <conditionalFormatting sqref="F136:G1048576 G61:G135">
    <cfRule type="cellIs" dxfId="1333" priority="5560" operator="lessThan">
      <formula>0</formula>
    </cfRule>
  </conditionalFormatting>
  <conditionalFormatting sqref="F136:G1048576 G61:G135">
    <cfRule type="cellIs" dxfId="1332" priority="5559" operator="lessThan">
      <formula>0</formula>
    </cfRule>
  </conditionalFormatting>
  <conditionalFormatting sqref="F136:G1048576 G61:G135">
    <cfRule type="cellIs" dxfId="1331" priority="5558" operator="lessThan">
      <formula>0</formula>
    </cfRule>
  </conditionalFormatting>
  <conditionalFormatting sqref="F136:G1048576 G61:G135">
    <cfRule type="cellIs" dxfId="1330" priority="5557" operator="lessThan">
      <formula>0</formula>
    </cfRule>
  </conditionalFormatting>
  <conditionalFormatting sqref="F136:G1048576 G61:G135">
    <cfRule type="cellIs" dxfId="1329" priority="5556" operator="lessThan">
      <formula>0</formula>
    </cfRule>
  </conditionalFormatting>
  <conditionalFormatting sqref="F136:G1048576 G61:G135">
    <cfRule type="cellIs" dxfId="1328" priority="5555" operator="lessThan">
      <formula>0</formula>
    </cfRule>
  </conditionalFormatting>
  <conditionalFormatting sqref="F136:G1048576 G61:G135">
    <cfRule type="cellIs" dxfId="1327" priority="5554" operator="lessThan">
      <formula>0</formula>
    </cfRule>
  </conditionalFormatting>
  <conditionalFormatting sqref="F136:G1048576 G61:G135">
    <cfRule type="cellIs" dxfId="1326" priority="5553" operator="lessThan">
      <formula>0</formula>
    </cfRule>
  </conditionalFormatting>
  <conditionalFormatting sqref="F136:G1048576 G61:G135">
    <cfRule type="cellIs" dxfId="1325" priority="5552" operator="lessThan">
      <formula>0</formula>
    </cfRule>
  </conditionalFormatting>
  <conditionalFormatting sqref="F136:G1048576 G61:G135">
    <cfRule type="cellIs" dxfId="1324" priority="5551" operator="lessThan">
      <formula>0</formula>
    </cfRule>
  </conditionalFormatting>
  <conditionalFormatting sqref="F136:G1048576 G61:G135">
    <cfRule type="cellIs" dxfId="1323" priority="5550" operator="lessThan">
      <formula>0</formula>
    </cfRule>
  </conditionalFormatting>
  <conditionalFormatting sqref="F136:G1048576 G61:G135">
    <cfRule type="cellIs" dxfId="1322" priority="5549" operator="lessThan">
      <formula>0</formula>
    </cfRule>
  </conditionalFormatting>
  <conditionalFormatting sqref="F136:G1048576 G61:G135">
    <cfRule type="cellIs" dxfId="1321" priority="5548" operator="lessThan">
      <formula>0</formula>
    </cfRule>
  </conditionalFormatting>
  <conditionalFormatting sqref="F136:G1048576 G61:G135">
    <cfRule type="cellIs" dxfId="1320" priority="5547" operator="lessThan">
      <formula>0</formula>
    </cfRule>
  </conditionalFormatting>
  <conditionalFormatting sqref="F136:G1048576 G61:G135">
    <cfRule type="cellIs" dxfId="1319" priority="5546" operator="lessThan">
      <formula>0</formula>
    </cfRule>
  </conditionalFormatting>
  <conditionalFormatting sqref="F136:G1048576 G61:G135">
    <cfRule type="cellIs" dxfId="1318" priority="5545" operator="lessThan">
      <formula>0</formula>
    </cfRule>
  </conditionalFormatting>
  <conditionalFormatting sqref="F136:G1048576 G61:G135">
    <cfRule type="cellIs" dxfId="1317" priority="5544" operator="lessThan">
      <formula>0</formula>
    </cfRule>
  </conditionalFormatting>
  <conditionalFormatting sqref="F136:G1048576 G61:G135">
    <cfRule type="cellIs" dxfId="1316" priority="5543" operator="lessThan">
      <formula>0</formula>
    </cfRule>
  </conditionalFormatting>
  <conditionalFormatting sqref="F136:G1048576 G61:G135">
    <cfRule type="cellIs" dxfId="1315" priority="5542" operator="lessThan">
      <formula>0</formula>
    </cfRule>
  </conditionalFormatting>
  <conditionalFormatting sqref="F136:G1048576 G61:G135">
    <cfRule type="cellIs" dxfId="1314" priority="5541" operator="lessThan">
      <formula>0</formula>
    </cfRule>
  </conditionalFormatting>
  <conditionalFormatting sqref="F136:G1048576 G61:G135">
    <cfRule type="cellIs" dxfId="1313" priority="5540" operator="lessThan">
      <formula>0</formula>
    </cfRule>
  </conditionalFormatting>
  <conditionalFormatting sqref="F136:G1048576 G61:G135">
    <cfRule type="cellIs" dxfId="1312" priority="5539" operator="lessThan">
      <formula>0</formula>
    </cfRule>
  </conditionalFormatting>
  <conditionalFormatting sqref="F136:G1048576 G61:G135">
    <cfRule type="cellIs" dxfId="1311" priority="5538" operator="lessThan">
      <formula>0</formula>
    </cfRule>
  </conditionalFormatting>
  <conditionalFormatting sqref="F136:G1048576 G61:G135">
    <cfRule type="cellIs" dxfId="1310" priority="5537" operator="lessThan">
      <formula>0</formula>
    </cfRule>
  </conditionalFormatting>
  <conditionalFormatting sqref="F136:G1048576 G61:G135">
    <cfRule type="cellIs" dxfId="1309" priority="5536" operator="lessThan">
      <formula>0</formula>
    </cfRule>
  </conditionalFormatting>
  <conditionalFormatting sqref="F136:G1048576 G61:G135">
    <cfRule type="cellIs" dxfId="1308" priority="5535" operator="lessThan">
      <formula>0</formula>
    </cfRule>
  </conditionalFormatting>
  <conditionalFormatting sqref="F136:G1048576 G61:G135">
    <cfRule type="cellIs" dxfId="1307" priority="5534" operator="lessThan">
      <formula>0</formula>
    </cfRule>
  </conditionalFormatting>
  <conditionalFormatting sqref="F136:G1048576 G61:G135">
    <cfRule type="cellIs" dxfId="1306" priority="5533" operator="lessThan">
      <formula>0</formula>
    </cfRule>
  </conditionalFormatting>
  <conditionalFormatting sqref="F136:G1048576 G61:G135">
    <cfRule type="cellIs" dxfId="1305" priority="5532" operator="lessThan">
      <formula>0</formula>
    </cfRule>
  </conditionalFormatting>
  <conditionalFormatting sqref="F136:G1048576 G61:G135">
    <cfRule type="cellIs" dxfId="1304" priority="5531" operator="lessThan">
      <formula>0</formula>
    </cfRule>
  </conditionalFormatting>
  <conditionalFormatting sqref="F136:G1048576 G61:G135">
    <cfRule type="cellIs" dxfId="1303" priority="5530" operator="lessThan">
      <formula>0</formula>
    </cfRule>
  </conditionalFormatting>
  <conditionalFormatting sqref="F136:G1048576 G61:G135">
    <cfRule type="cellIs" dxfId="1302" priority="5529" operator="lessThan">
      <formula>0</formula>
    </cfRule>
  </conditionalFormatting>
  <conditionalFormatting sqref="F136:G1048576 G61:G135">
    <cfRule type="cellIs" dxfId="1301" priority="5528" operator="lessThan">
      <formula>0</formula>
    </cfRule>
  </conditionalFormatting>
  <conditionalFormatting sqref="F136:G1048576 G61:G135">
    <cfRule type="cellIs" dxfId="1300" priority="5527" operator="lessThan">
      <formula>0</formula>
    </cfRule>
  </conditionalFormatting>
  <conditionalFormatting sqref="F136:G1048576 G61:G135">
    <cfRule type="cellIs" dxfId="1299" priority="5526" operator="lessThan">
      <formula>0</formula>
    </cfRule>
  </conditionalFormatting>
  <conditionalFormatting sqref="F136:G1048576 G61:G135">
    <cfRule type="cellIs" dxfId="1298" priority="5525" operator="lessThan">
      <formula>0</formula>
    </cfRule>
  </conditionalFormatting>
  <conditionalFormatting sqref="F136:G1048576 G61:G135">
    <cfRule type="cellIs" dxfId="1297" priority="5524" operator="lessThan">
      <formula>0</formula>
    </cfRule>
  </conditionalFormatting>
  <conditionalFormatting sqref="F136:G1048576 G61:G135">
    <cfRule type="cellIs" dxfId="1296" priority="5523" operator="lessThan">
      <formula>0</formula>
    </cfRule>
  </conditionalFormatting>
  <conditionalFormatting sqref="F136:G1048576 G61:G135">
    <cfRule type="cellIs" dxfId="1295" priority="5522" operator="lessThan">
      <formula>0</formula>
    </cfRule>
  </conditionalFormatting>
  <conditionalFormatting sqref="F136:G1048576 G61:G135">
    <cfRule type="cellIs" dxfId="1294" priority="5521" operator="lessThan">
      <formula>0</formula>
    </cfRule>
  </conditionalFormatting>
  <conditionalFormatting sqref="F136:G1048576 G61:G135">
    <cfRule type="cellIs" dxfId="1293" priority="5520" operator="lessThan">
      <formula>0</formula>
    </cfRule>
  </conditionalFormatting>
  <conditionalFormatting sqref="F136:G1048576 G61:G135">
    <cfRule type="cellIs" dxfId="1292" priority="5519" operator="lessThan">
      <formula>0</formula>
    </cfRule>
  </conditionalFormatting>
  <conditionalFormatting sqref="F136:G1048576 G61:G135">
    <cfRule type="cellIs" dxfId="1291" priority="5518" operator="lessThan">
      <formula>0</formula>
    </cfRule>
  </conditionalFormatting>
  <conditionalFormatting sqref="F136:G1048576 G61:G135">
    <cfRule type="cellIs" dxfId="1290" priority="5517" operator="lessThan">
      <formula>0</formula>
    </cfRule>
  </conditionalFormatting>
  <conditionalFormatting sqref="F136:G1048576 G61:G135">
    <cfRule type="cellIs" dxfId="1289" priority="5516" operator="lessThan">
      <formula>0</formula>
    </cfRule>
  </conditionalFormatting>
  <conditionalFormatting sqref="F136:G1048576 G61:G135">
    <cfRule type="cellIs" dxfId="1288" priority="5515" operator="lessThan">
      <formula>0</formula>
    </cfRule>
  </conditionalFormatting>
  <conditionalFormatting sqref="F136:G1048576 G61:G135">
    <cfRule type="cellIs" dxfId="1287" priority="5514" operator="lessThan">
      <formula>0</formula>
    </cfRule>
  </conditionalFormatting>
  <conditionalFormatting sqref="F136:G1048576 G61:G135">
    <cfRule type="cellIs" dxfId="1286" priority="5513" operator="lessThan">
      <formula>0</formula>
    </cfRule>
  </conditionalFormatting>
  <conditionalFormatting sqref="F136:G1048576 G61:G135">
    <cfRule type="cellIs" dxfId="1285" priority="5512" operator="lessThan">
      <formula>0</formula>
    </cfRule>
  </conditionalFormatting>
  <conditionalFormatting sqref="F136:G1048576 G61:G135">
    <cfRule type="cellIs" dxfId="1284" priority="5511" operator="lessThan">
      <formula>0</formula>
    </cfRule>
  </conditionalFormatting>
  <conditionalFormatting sqref="F136:G1048576 G61:G135">
    <cfRule type="cellIs" dxfId="1283" priority="5510" operator="lessThan">
      <formula>0</formula>
    </cfRule>
  </conditionalFormatting>
  <conditionalFormatting sqref="F136:G1048576 G61:G135">
    <cfRule type="cellIs" dxfId="1282" priority="5509" operator="lessThan">
      <formula>0</formula>
    </cfRule>
  </conditionalFormatting>
  <conditionalFormatting sqref="F136:G1048576 G61:G135">
    <cfRule type="cellIs" dxfId="1281" priority="5508" operator="lessThan">
      <formula>0</formula>
    </cfRule>
  </conditionalFormatting>
  <conditionalFormatting sqref="F136:G1048576 G61:G135">
    <cfRule type="cellIs" dxfId="1280" priority="5507" operator="lessThan">
      <formula>0</formula>
    </cfRule>
  </conditionalFormatting>
  <conditionalFormatting sqref="F136:G1048576 G61:G135">
    <cfRule type="cellIs" dxfId="1279" priority="5506" operator="lessThan">
      <formula>0</formula>
    </cfRule>
  </conditionalFormatting>
  <conditionalFormatting sqref="F136:G1048576 G61:G135">
    <cfRule type="cellIs" dxfId="1278" priority="5505" operator="lessThan">
      <formula>0</formula>
    </cfRule>
  </conditionalFormatting>
  <conditionalFormatting sqref="F136:G1048576 G61:G135">
    <cfRule type="cellIs" dxfId="1277" priority="5504" operator="lessThan">
      <formula>0</formula>
    </cfRule>
  </conditionalFormatting>
  <conditionalFormatting sqref="F136:G1048576 G61:G135">
    <cfRule type="cellIs" dxfId="1276" priority="5503" operator="lessThan">
      <formula>0</formula>
    </cfRule>
  </conditionalFormatting>
  <conditionalFormatting sqref="F136:G1048576 G61:G135">
    <cfRule type="cellIs" dxfId="1275" priority="5502" operator="lessThan">
      <formula>0</formula>
    </cfRule>
  </conditionalFormatting>
  <conditionalFormatting sqref="F136:G1048576 G61:G135">
    <cfRule type="cellIs" dxfId="1274" priority="5501" operator="lessThan">
      <formula>0</formula>
    </cfRule>
  </conditionalFormatting>
  <conditionalFormatting sqref="F136:G1048576 G61:G135">
    <cfRule type="cellIs" dxfId="1273" priority="5500" operator="lessThan">
      <formula>0</formula>
    </cfRule>
  </conditionalFormatting>
  <conditionalFormatting sqref="F136:G1048576 G61:G135">
    <cfRule type="cellIs" dxfId="1272" priority="5499" operator="lessThan">
      <formula>0</formula>
    </cfRule>
  </conditionalFormatting>
  <conditionalFormatting sqref="F136:G1048576 G61:G135">
    <cfRule type="cellIs" dxfId="1271" priority="5498" operator="lessThan">
      <formula>0</formula>
    </cfRule>
  </conditionalFormatting>
  <conditionalFormatting sqref="F136:G1048576 G61:G135">
    <cfRule type="cellIs" dxfId="1270" priority="5497" operator="lessThan">
      <formula>0</formula>
    </cfRule>
  </conditionalFormatting>
  <conditionalFormatting sqref="F136:G1048576 G61:G135">
    <cfRule type="cellIs" dxfId="1269" priority="5496" operator="lessThan">
      <formula>0</formula>
    </cfRule>
  </conditionalFormatting>
  <conditionalFormatting sqref="F136:G1048576 G61:G135">
    <cfRule type="cellIs" dxfId="1268" priority="5495" operator="lessThan">
      <formula>0</formula>
    </cfRule>
  </conditionalFormatting>
  <conditionalFormatting sqref="F136:G1048576 G61:G135">
    <cfRule type="cellIs" dxfId="1267" priority="5494" operator="lessThan">
      <formula>0</formula>
    </cfRule>
  </conditionalFormatting>
  <conditionalFormatting sqref="F136:G1048576 G61:G135">
    <cfRule type="cellIs" dxfId="1266" priority="5493" operator="lessThan">
      <formula>0</formula>
    </cfRule>
  </conditionalFormatting>
  <conditionalFormatting sqref="F136:G1048576 G61:G135">
    <cfRule type="cellIs" dxfId="1265" priority="5492" operator="lessThan">
      <formula>0</formula>
    </cfRule>
  </conditionalFormatting>
  <conditionalFormatting sqref="F136:G1048576 G61:G135">
    <cfRule type="cellIs" dxfId="1264" priority="5491" operator="lessThan">
      <formula>0</formula>
    </cfRule>
  </conditionalFormatting>
  <conditionalFormatting sqref="F136:G1048576 G61:G135">
    <cfRule type="cellIs" dxfId="1263" priority="5490" operator="lessThan">
      <formula>0</formula>
    </cfRule>
  </conditionalFormatting>
  <conditionalFormatting sqref="F136:G1048576 G61:G135">
    <cfRule type="cellIs" dxfId="1262" priority="5489" operator="lessThan">
      <formula>0</formula>
    </cfRule>
  </conditionalFormatting>
  <conditionalFormatting sqref="F136:G1048576 G61:G135">
    <cfRule type="cellIs" dxfId="1261" priority="5488" operator="lessThan">
      <formula>0</formula>
    </cfRule>
  </conditionalFormatting>
  <conditionalFormatting sqref="F136:G1048576 G61:G135">
    <cfRule type="cellIs" dxfId="1260" priority="5487" operator="lessThan">
      <formula>0</formula>
    </cfRule>
  </conditionalFormatting>
  <conditionalFormatting sqref="F136:G1048576 G61:G135">
    <cfRule type="cellIs" dxfId="1259" priority="5486" operator="lessThan">
      <formula>0</formula>
    </cfRule>
  </conditionalFormatting>
  <conditionalFormatting sqref="F136:G1048576 G61:G135">
    <cfRule type="cellIs" dxfId="1258" priority="5485" operator="lessThan">
      <formula>0</formula>
    </cfRule>
  </conditionalFormatting>
  <conditionalFormatting sqref="F136:G1048576 G61:G135">
    <cfRule type="cellIs" dxfId="1257" priority="5484" operator="lessThan">
      <formula>0</formula>
    </cfRule>
  </conditionalFormatting>
  <conditionalFormatting sqref="F136:G1048576 G61:G135">
    <cfRule type="cellIs" dxfId="1256" priority="5483" operator="lessThan">
      <formula>0</formula>
    </cfRule>
  </conditionalFormatting>
  <conditionalFormatting sqref="F136:G1048576 G61:G135">
    <cfRule type="cellIs" dxfId="1255" priority="5482" operator="lessThan">
      <formula>0</formula>
    </cfRule>
  </conditionalFormatting>
  <conditionalFormatting sqref="F136:G1048576 G61:G135">
    <cfRule type="cellIs" dxfId="1254" priority="5481" operator="lessThan">
      <formula>0</formula>
    </cfRule>
  </conditionalFormatting>
  <conditionalFormatting sqref="F136:G1048576 G61:G135">
    <cfRule type="cellIs" dxfId="1253" priority="5480" operator="lessThan">
      <formula>0</formula>
    </cfRule>
  </conditionalFormatting>
  <conditionalFormatting sqref="F136:G1048576 G61:G135">
    <cfRule type="cellIs" dxfId="1252" priority="5479" operator="lessThan">
      <formula>0</formula>
    </cfRule>
  </conditionalFormatting>
  <conditionalFormatting sqref="F136:G1048576 G61:G135">
    <cfRule type="cellIs" dxfId="1251" priority="5478" operator="lessThan">
      <formula>0</formula>
    </cfRule>
  </conditionalFormatting>
  <conditionalFormatting sqref="F136:G1048576 G61:G135">
    <cfRule type="cellIs" dxfId="1250" priority="5477" operator="lessThan">
      <formula>0</formula>
    </cfRule>
  </conditionalFormatting>
  <conditionalFormatting sqref="F136:G1048576 G61:G135">
    <cfRule type="cellIs" dxfId="1249" priority="5476" operator="lessThan">
      <formula>0</formula>
    </cfRule>
  </conditionalFormatting>
  <conditionalFormatting sqref="F136:G1048576 G61:G135">
    <cfRule type="cellIs" dxfId="1248" priority="5475" operator="lessThan">
      <formula>0</formula>
    </cfRule>
  </conditionalFormatting>
  <conditionalFormatting sqref="F136:G1048576 G61:G135">
    <cfRule type="cellIs" dxfId="1247" priority="5474" operator="lessThan">
      <formula>0</formula>
    </cfRule>
  </conditionalFormatting>
  <conditionalFormatting sqref="F136:G1048576 G61:G135">
    <cfRule type="cellIs" dxfId="1246" priority="5473" operator="lessThan">
      <formula>0</formula>
    </cfRule>
  </conditionalFormatting>
  <conditionalFormatting sqref="F136:G1048576 G61:G135">
    <cfRule type="cellIs" dxfId="1245" priority="5472" operator="lessThan">
      <formula>0</formula>
    </cfRule>
  </conditionalFormatting>
  <conditionalFormatting sqref="F136:G1048576 G61:G135">
    <cfRule type="cellIs" dxfId="1244" priority="5471" operator="lessThan">
      <formula>0</formula>
    </cfRule>
  </conditionalFormatting>
  <conditionalFormatting sqref="F136:G1048576 G61:G135">
    <cfRule type="cellIs" dxfId="1243" priority="5470" operator="lessThan">
      <formula>0</formula>
    </cfRule>
  </conditionalFormatting>
  <conditionalFormatting sqref="G42">
    <cfRule type="cellIs" dxfId="1242" priority="4767" operator="lessThan">
      <formula>0</formula>
    </cfRule>
  </conditionalFormatting>
  <conditionalFormatting sqref="G42">
    <cfRule type="cellIs" dxfId="1241" priority="4766" operator="lessThan">
      <formula>0</formula>
    </cfRule>
  </conditionalFormatting>
  <conditionalFormatting sqref="G42">
    <cfRule type="cellIs" dxfId="1240" priority="4765" operator="lessThan">
      <formula>0</formula>
    </cfRule>
  </conditionalFormatting>
  <conditionalFormatting sqref="G42">
    <cfRule type="cellIs" dxfId="1239" priority="4764" operator="lessThan">
      <formula>0</formula>
    </cfRule>
  </conditionalFormatting>
  <conditionalFormatting sqref="G42">
    <cfRule type="cellIs" dxfId="1238" priority="4763" operator="lessThan">
      <formula>0</formula>
    </cfRule>
  </conditionalFormatting>
  <conditionalFormatting sqref="G42">
    <cfRule type="cellIs" dxfId="1237" priority="4762" operator="lessThan">
      <formula>0</formula>
    </cfRule>
  </conditionalFormatting>
  <conditionalFormatting sqref="G42">
    <cfRule type="cellIs" dxfId="1236" priority="4761" operator="lessThan">
      <formula>0</formula>
    </cfRule>
  </conditionalFormatting>
  <conditionalFormatting sqref="G42">
    <cfRule type="cellIs" dxfId="1235" priority="4760" operator="lessThan">
      <formula>0</formula>
    </cfRule>
  </conditionalFormatting>
  <conditionalFormatting sqref="G42">
    <cfRule type="cellIs" dxfId="1234" priority="4759" operator="lessThan">
      <formula>0</formula>
    </cfRule>
  </conditionalFormatting>
  <conditionalFormatting sqref="G42">
    <cfRule type="cellIs" dxfId="1233" priority="4758" operator="lessThan">
      <formula>0</formula>
    </cfRule>
  </conditionalFormatting>
  <conditionalFormatting sqref="G42">
    <cfRule type="cellIs" dxfId="1232" priority="4757" operator="lessThan">
      <formula>0</formula>
    </cfRule>
  </conditionalFormatting>
  <conditionalFormatting sqref="G42">
    <cfRule type="cellIs" dxfId="1231" priority="4756" operator="lessThan">
      <formula>0</formula>
    </cfRule>
  </conditionalFormatting>
  <conditionalFormatting sqref="G42">
    <cfRule type="cellIs" dxfId="1230" priority="4755" operator="lessThan">
      <formula>0</formula>
    </cfRule>
  </conditionalFormatting>
  <conditionalFormatting sqref="G42">
    <cfRule type="cellIs" dxfId="1229" priority="4754" operator="lessThan">
      <formula>0</formula>
    </cfRule>
  </conditionalFormatting>
  <conditionalFormatting sqref="G42">
    <cfRule type="cellIs" dxfId="1228" priority="4753" operator="lessThan">
      <formula>0</formula>
    </cfRule>
  </conditionalFormatting>
  <conditionalFormatting sqref="G42">
    <cfRule type="cellIs" dxfId="1227" priority="4752" operator="lessThan">
      <formula>0</formula>
    </cfRule>
  </conditionalFormatting>
  <conditionalFormatting sqref="G42">
    <cfRule type="cellIs" dxfId="1226" priority="4751" operator="lessThan">
      <formula>0</formula>
    </cfRule>
  </conditionalFormatting>
  <conditionalFormatting sqref="G42">
    <cfRule type="cellIs" dxfId="1225" priority="4750" operator="lessThan">
      <formula>0</formula>
    </cfRule>
  </conditionalFormatting>
  <conditionalFormatting sqref="G42">
    <cfRule type="cellIs" dxfId="1224" priority="4749" operator="lessThan">
      <formula>0</formula>
    </cfRule>
  </conditionalFormatting>
  <conditionalFormatting pivot="1" sqref="F13:F54">
    <cfRule type="cellIs" dxfId="1223" priority="3694" operator="lessThan">
      <formula>0</formula>
    </cfRule>
  </conditionalFormatting>
  <conditionalFormatting sqref="H86:H1048576">
    <cfRule type="cellIs" dxfId="1222" priority="3490" operator="lessThan">
      <formula>0</formula>
    </cfRule>
  </conditionalFormatting>
  <conditionalFormatting sqref="H86:H1048576">
    <cfRule type="cellIs" dxfId="1221" priority="3489" operator="lessThan">
      <formula>0</formula>
    </cfRule>
  </conditionalFormatting>
  <conditionalFormatting sqref="H86:H1048576">
    <cfRule type="cellIs" dxfId="1220" priority="3488" operator="lessThan">
      <formula>0</formula>
    </cfRule>
  </conditionalFormatting>
  <conditionalFormatting sqref="H86:H1048576">
    <cfRule type="cellIs" dxfId="1219" priority="3487" operator="lessThan">
      <formula>0</formula>
    </cfRule>
  </conditionalFormatting>
  <conditionalFormatting sqref="H86:H1048576">
    <cfRule type="cellIs" dxfId="1218" priority="3486" operator="lessThan">
      <formula>0</formula>
    </cfRule>
  </conditionalFormatting>
  <conditionalFormatting sqref="H86:H1048576">
    <cfRule type="cellIs" dxfId="1217" priority="3485" operator="lessThan">
      <formula>0</formula>
    </cfRule>
  </conditionalFormatting>
  <conditionalFormatting sqref="H86:H1048576">
    <cfRule type="cellIs" dxfId="1216" priority="3484" operator="lessThan">
      <formula>0</formula>
    </cfRule>
  </conditionalFormatting>
  <conditionalFormatting sqref="H86:H1048576">
    <cfRule type="cellIs" dxfId="1215" priority="3483" operator="lessThan">
      <formula>0</formula>
    </cfRule>
  </conditionalFormatting>
  <conditionalFormatting sqref="H86:H1048576">
    <cfRule type="cellIs" dxfId="1214" priority="3482" operator="lessThan">
      <formula>0</formula>
    </cfRule>
  </conditionalFormatting>
  <conditionalFormatting sqref="H86:H1048576">
    <cfRule type="cellIs" dxfId="1213" priority="3481" operator="lessThan">
      <formula>0</formula>
    </cfRule>
  </conditionalFormatting>
  <conditionalFormatting sqref="H86:H1048576">
    <cfRule type="cellIs" dxfId="1212" priority="3480" operator="lessThan">
      <formula>0</formula>
    </cfRule>
  </conditionalFormatting>
  <conditionalFormatting sqref="H86:H1048576">
    <cfRule type="cellIs" dxfId="1211" priority="3479" operator="lessThan">
      <formula>0</formula>
    </cfRule>
  </conditionalFormatting>
  <conditionalFormatting sqref="H86:H1048576">
    <cfRule type="cellIs" dxfId="1210" priority="3478" operator="lessThan">
      <formula>0</formula>
    </cfRule>
  </conditionalFormatting>
  <conditionalFormatting sqref="H86:H1048576">
    <cfRule type="cellIs" dxfId="1209" priority="3477" operator="lessThan">
      <formula>0</formula>
    </cfRule>
  </conditionalFormatting>
  <conditionalFormatting sqref="H86:H1048576">
    <cfRule type="cellIs" dxfId="1208" priority="3476" operator="lessThan">
      <formula>0</formula>
    </cfRule>
  </conditionalFormatting>
  <conditionalFormatting sqref="H86:H1048576">
    <cfRule type="cellIs" dxfId="1207" priority="3475" operator="lessThan">
      <formula>0</formula>
    </cfRule>
  </conditionalFormatting>
  <conditionalFormatting sqref="H86:H1048576">
    <cfRule type="cellIs" dxfId="1206" priority="3474" operator="lessThan">
      <formula>0</formula>
    </cfRule>
  </conditionalFormatting>
  <conditionalFormatting sqref="H86:H1048576">
    <cfRule type="cellIs" dxfId="1205" priority="3473" operator="lessThan">
      <formula>0</formula>
    </cfRule>
  </conditionalFormatting>
  <conditionalFormatting sqref="H86:H1048576">
    <cfRule type="cellIs" dxfId="1204" priority="3472" operator="lessThan">
      <formula>0</formula>
    </cfRule>
  </conditionalFormatting>
  <conditionalFormatting sqref="H86:H1048576">
    <cfRule type="cellIs" dxfId="1203" priority="3471" operator="lessThan">
      <formula>0</formula>
    </cfRule>
  </conditionalFormatting>
  <conditionalFormatting sqref="H86:H1048576">
    <cfRule type="cellIs" dxfId="1202" priority="3470" operator="lessThan">
      <formula>0</formula>
    </cfRule>
  </conditionalFormatting>
  <conditionalFormatting sqref="H86:H1048576">
    <cfRule type="cellIs" dxfId="1201" priority="3469" operator="lessThan">
      <formula>0</formula>
    </cfRule>
  </conditionalFormatting>
  <conditionalFormatting sqref="H86:H1048576">
    <cfRule type="cellIs" dxfId="1200" priority="3468" operator="lessThan">
      <formula>0</formula>
    </cfRule>
  </conditionalFormatting>
  <conditionalFormatting sqref="H86:H1048576">
    <cfRule type="cellIs" dxfId="1199" priority="3467" operator="lessThan">
      <formula>0</formula>
    </cfRule>
  </conditionalFormatting>
  <conditionalFormatting sqref="H86:H1048576">
    <cfRule type="cellIs" dxfId="1198" priority="3466" operator="lessThan">
      <formula>0</formula>
    </cfRule>
  </conditionalFormatting>
  <conditionalFormatting sqref="H86:H1048576">
    <cfRule type="cellIs" dxfId="1197" priority="3465" operator="lessThan">
      <formula>0</formula>
    </cfRule>
  </conditionalFormatting>
  <conditionalFormatting sqref="H86:H1048576">
    <cfRule type="cellIs" dxfId="1196" priority="3464" operator="lessThan">
      <formula>0</formula>
    </cfRule>
  </conditionalFormatting>
  <conditionalFormatting sqref="H86:H1048576">
    <cfRule type="cellIs" dxfId="1195" priority="3463" operator="lessThan">
      <formula>0</formula>
    </cfRule>
  </conditionalFormatting>
  <conditionalFormatting sqref="H86:H1048576">
    <cfRule type="cellIs" dxfId="1194" priority="3462" operator="lessThan">
      <formula>0</formula>
    </cfRule>
  </conditionalFormatting>
  <conditionalFormatting sqref="H86:H1048576">
    <cfRule type="cellIs" dxfId="1193" priority="3461" operator="lessThan">
      <formula>0</formula>
    </cfRule>
  </conditionalFormatting>
  <conditionalFormatting sqref="H86:H1048576">
    <cfRule type="cellIs" dxfId="1192" priority="3460" operator="lessThan">
      <formula>0</formula>
    </cfRule>
  </conditionalFormatting>
  <conditionalFormatting sqref="H86:H1048576">
    <cfRule type="cellIs" dxfId="1191" priority="3459" operator="lessThan">
      <formula>0</formula>
    </cfRule>
  </conditionalFormatting>
  <conditionalFormatting sqref="H86:H1048576">
    <cfRule type="cellIs" dxfId="1190" priority="3458" operator="lessThan">
      <formula>0</formula>
    </cfRule>
  </conditionalFormatting>
  <conditionalFormatting sqref="H86:H1048576">
    <cfRule type="cellIs" dxfId="1189" priority="3457" operator="lessThan">
      <formula>0</formula>
    </cfRule>
  </conditionalFormatting>
  <conditionalFormatting sqref="H86:H1048576">
    <cfRule type="cellIs" dxfId="1188" priority="3456" operator="lessThan">
      <formula>0</formula>
    </cfRule>
  </conditionalFormatting>
  <conditionalFormatting sqref="H86:H1048576">
    <cfRule type="cellIs" dxfId="1187" priority="3455" operator="lessThan">
      <formula>0</formula>
    </cfRule>
  </conditionalFormatting>
  <conditionalFormatting sqref="H86:H1048576">
    <cfRule type="cellIs" dxfId="1186" priority="3454" operator="lessThan">
      <formula>0</formula>
    </cfRule>
  </conditionalFormatting>
  <conditionalFormatting sqref="H86:H1048576">
    <cfRule type="cellIs" dxfId="1185" priority="3453" operator="lessThan">
      <formula>0</formula>
    </cfRule>
  </conditionalFormatting>
  <conditionalFormatting sqref="H86:H1048576">
    <cfRule type="cellIs" dxfId="1184" priority="3452" operator="lessThan">
      <formula>0</formula>
    </cfRule>
  </conditionalFormatting>
  <conditionalFormatting sqref="H86:H1048576">
    <cfRule type="cellIs" dxfId="1183" priority="3451" operator="lessThan">
      <formula>0</formula>
    </cfRule>
  </conditionalFormatting>
  <conditionalFormatting sqref="H86:H1048576">
    <cfRule type="cellIs" dxfId="1182" priority="3450" operator="lessThan">
      <formula>0</formula>
    </cfRule>
  </conditionalFormatting>
  <conditionalFormatting sqref="H86:H1048576">
    <cfRule type="cellIs" dxfId="1181" priority="3449" operator="lessThan">
      <formula>0</formula>
    </cfRule>
  </conditionalFormatting>
  <conditionalFormatting sqref="H86:H1048576">
    <cfRule type="cellIs" dxfId="1180" priority="3448" operator="lessThan">
      <formula>0</formula>
    </cfRule>
  </conditionalFormatting>
  <conditionalFormatting sqref="H86:H1048576">
    <cfRule type="cellIs" dxfId="1179" priority="3447" operator="lessThan">
      <formula>0</formula>
    </cfRule>
  </conditionalFormatting>
  <conditionalFormatting sqref="H86:H1048576">
    <cfRule type="cellIs" dxfId="1178" priority="3446" operator="lessThan">
      <formula>0</formula>
    </cfRule>
  </conditionalFormatting>
  <conditionalFormatting sqref="H86:H1048576">
    <cfRule type="cellIs" dxfId="1177" priority="3445" operator="lessThan">
      <formula>0</formula>
    </cfRule>
  </conditionalFormatting>
  <conditionalFormatting sqref="H86:H1048576">
    <cfRule type="cellIs" dxfId="1176" priority="3444" operator="lessThan">
      <formula>0</formula>
    </cfRule>
  </conditionalFormatting>
  <conditionalFormatting sqref="H86:H1048576">
    <cfRule type="cellIs" dxfId="1175" priority="3443" operator="lessThan">
      <formula>0</formula>
    </cfRule>
  </conditionalFormatting>
  <conditionalFormatting sqref="H86:H1048576">
    <cfRule type="cellIs" dxfId="1174" priority="3442" operator="lessThan">
      <formula>0</formula>
    </cfRule>
  </conditionalFormatting>
  <conditionalFormatting sqref="H86:H1048576">
    <cfRule type="cellIs" dxfId="1173" priority="3441" operator="lessThan">
      <formula>0</formula>
    </cfRule>
  </conditionalFormatting>
  <conditionalFormatting sqref="H86:H1048576">
    <cfRule type="cellIs" dxfId="1172" priority="3440" operator="lessThan">
      <formula>0</formula>
    </cfRule>
  </conditionalFormatting>
  <conditionalFormatting sqref="H86:H1048576">
    <cfRule type="cellIs" dxfId="1171" priority="3439" operator="lessThan">
      <formula>0</formula>
    </cfRule>
  </conditionalFormatting>
  <conditionalFormatting sqref="H86:H1048576">
    <cfRule type="cellIs" dxfId="1170" priority="3438" operator="lessThan">
      <formula>0</formula>
    </cfRule>
  </conditionalFormatting>
  <conditionalFormatting sqref="H86:H1048576">
    <cfRule type="cellIs" dxfId="1169" priority="3437" operator="lessThan">
      <formula>0</formula>
    </cfRule>
  </conditionalFormatting>
  <conditionalFormatting sqref="H86:H1048576">
    <cfRule type="cellIs" dxfId="1168" priority="3436" operator="lessThan">
      <formula>0</formula>
    </cfRule>
  </conditionalFormatting>
  <conditionalFormatting sqref="H86:H1048576">
    <cfRule type="cellIs" dxfId="1167" priority="3435" operator="lessThan">
      <formula>0</formula>
    </cfRule>
  </conditionalFormatting>
  <conditionalFormatting sqref="H86:H1048576">
    <cfRule type="cellIs" dxfId="1166" priority="3434" operator="lessThan">
      <formula>0</formula>
    </cfRule>
  </conditionalFormatting>
  <conditionalFormatting sqref="H86:H1048576">
    <cfRule type="cellIs" dxfId="1165" priority="3433" operator="lessThan">
      <formula>0</formula>
    </cfRule>
  </conditionalFormatting>
  <conditionalFormatting sqref="H86:H1048576">
    <cfRule type="cellIs" dxfId="1164" priority="3432" operator="lessThan">
      <formula>0</formula>
    </cfRule>
  </conditionalFormatting>
  <conditionalFormatting sqref="H86:H1048576">
    <cfRule type="cellIs" dxfId="1163" priority="3431" operator="lessThan">
      <formula>0</formula>
    </cfRule>
  </conditionalFormatting>
  <conditionalFormatting sqref="H86:H1048576">
    <cfRule type="cellIs" dxfId="1162" priority="3430" operator="lessThan">
      <formula>0</formula>
    </cfRule>
  </conditionalFormatting>
  <conditionalFormatting sqref="H86:H1048576">
    <cfRule type="cellIs" dxfId="1161" priority="3429" operator="lessThan">
      <formula>0</formula>
    </cfRule>
  </conditionalFormatting>
  <conditionalFormatting sqref="H86:H1048576">
    <cfRule type="cellIs" dxfId="1160" priority="3428" operator="lessThan">
      <formula>0</formula>
    </cfRule>
  </conditionalFormatting>
  <conditionalFormatting sqref="H86:H1048576">
    <cfRule type="cellIs" dxfId="1159" priority="3427" operator="lessThan">
      <formula>0</formula>
    </cfRule>
  </conditionalFormatting>
  <conditionalFormatting sqref="H86:H1048576">
    <cfRule type="cellIs" dxfId="1158" priority="3426" operator="lessThan">
      <formula>0</formula>
    </cfRule>
  </conditionalFormatting>
  <conditionalFormatting sqref="H86:H1048576">
    <cfRule type="cellIs" dxfId="1157" priority="3425" operator="lessThan">
      <formula>0</formula>
    </cfRule>
  </conditionalFormatting>
  <conditionalFormatting sqref="H86:H1048576">
    <cfRule type="cellIs" dxfId="1156" priority="3424" operator="lessThan">
      <formula>0</formula>
    </cfRule>
  </conditionalFormatting>
  <conditionalFormatting sqref="H86:H1048576">
    <cfRule type="cellIs" dxfId="1155" priority="3423" operator="lessThan">
      <formula>0</formula>
    </cfRule>
  </conditionalFormatting>
  <conditionalFormatting sqref="H86:H1048576">
    <cfRule type="cellIs" dxfId="1154" priority="3422" operator="lessThan">
      <formula>0</formula>
    </cfRule>
  </conditionalFormatting>
  <conditionalFormatting sqref="H86:H1048576">
    <cfRule type="cellIs" dxfId="1153" priority="3421" operator="lessThan">
      <formula>0</formula>
    </cfRule>
  </conditionalFormatting>
  <conditionalFormatting sqref="H86:H1048576">
    <cfRule type="cellIs" dxfId="1152" priority="3420" operator="lessThan">
      <formula>0</formula>
    </cfRule>
  </conditionalFormatting>
  <conditionalFormatting sqref="H86:H1048576">
    <cfRule type="cellIs" dxfId="1151" priority="3419" operator="lessThan">
      <formula>0</formula>
    </cfRule>
  </conditionalFormatting>
  <conditionalFormatting sqref="H86:H1048576">
    <cfRule type="cellIs" dxfId="1150" priority="3418" operator="lessThan">
      <formula>0</formula>
    </cfRule>
  </conditionalFormatting>
  <conditionalFormatting sqref="H86:H1048576">
    <cfRule type="cellIs" dxfId="1149" priority="3417" operator="lessThan">
      <formula>0</formula>
    </cfRule>
  </conditionalFormatting>
  <conditionalFormatting sqref="H86:H1048576">
    <cfRule type="cellIs" dxfId="1148" priority="3416" operator="lessThan">
      <formula>0</formula>
    </cfRule>
  </conditionalFormatting>
  <conditionalFormatting sqref="H86:H1048576">
    <cfRule type="cellIs" dxfId="1147" priority="3415" operator="lessThan">
      <formula>0</formula>
    </cfRule>
  </conditionalFormatting>
  <conditionalFormatting sqref="H86:H1048576">
    <cfRule type="cellIs" dxfId="1146" priority="3414" operator="lessThan">
      <formula>0</formula>
    </cfRule>
  </conditionalFormatting>
  <conditionalFormatting sqref="H86:H1048576">
    <cfRule type="cellIs" dxfId="1145" priority="3413" operator="lessThan">
      <formula>0</formula>
    </cfRule>
  </conditionalFormatting>
  <conditionalFormatting sqref="H86:H1048576">
    <cfRule type="cellIs" dxfId="1144" priority="3412" operator="lessThan">
      <formula>0</formula>
    </cfRule>
  </conditionalFormatting>
  <conditionalFormatting sqref="H86:H1048576">
    <cfRule type="cellIs" dxfId="1143" priority="3411" operator="lessThan">
      <formula>0</formula>
    </cfRule>
  </conditionalFormatting>
  <conditionalFormatting sqref="H86:H1048576">
    <cfRule type="cellIs" dxfId="1142" priority="3410" operator="lessThan">
      <formula>0</formula>
    </cfRule>
  </conditionalFormatting>
  <conditionalFormatting sqref="H86:H1048576">
    <cfRule type="cellIs" dxfId="1141" priority="3409" operator="lessThan">
      <formula>0</formula>
    </cfRule>
  </conditionalFormatting>
  <conditionalFormatting sqref="H86:H1048576">
    <cfRule type="cellIs" dxfId="1140" priority="3408" operator="lessThan">
      <formula>0</formula>
    </cfRule>
  </conditionalFormatting>
  <conditionalFormatting sqref="H86:H1048576">
    <cfRule type="cellIs" dxfId="1139" priority="3407" operator="lessThan">
      <formula>0</formula>
    </cfRule>
  </conditionalFormatting>
  <conditionalFormatting sqref="H86:H1048576">
    <cfRule type="cellIs" dxfId="1138" priority="3406" operator="lessThan">
      <formula>0</formula>
    </cfRule>
  </conditionalFormatting>
  <conditionalFormatting sqref="H86:H1048576">
    <cfRule type="cellIs" dxfId="1137" priority="3405" operator="lessThan">
      <formula>0</formula>
    </cfRule>
  </conditionalFormatting>
  <conditionalFormatting sqref="H86:H1048576">
    <cfRule type="cellIs" dxfId="1136" priority="3404" operator="lessThan">
      <formula>0</formula>
    </cfRule>
  </conditionalFormatting>
  <conditionalFormatting sqref="H86:H1048576">
    <cfRule type="cellIs" dxfId="1135" priority="3403" operator="lessThan">
      <formula>0</formula>
    </cfRule>
  </conditionalFormatting>
  <conditionalFormatting sqref="H86:H1048576">
    <cfRule type="cellIs" dxfId="1134" priority="3402" operator="lessThan">
      <formula>0</formula>
    </cfRule>
  </conditionalFormatting>
  <conditionalFormatting sqref="H86:H1048576">
    <cfRule type="cellIs" dxfId="1133" priority="3401" operator="lessThan">
      <formula>0</formula>
    </cfRule>
  </conditionalFormatting>
  <conditionalFormatting sqref="H86:H1048576">
    <cfRule type="cellIs" dxfId="1132" priority="3400" operator="lessThan">
      <formula>0</formula>
    </cfRule>
  </conditionalFormatting>
  <conditionalFormatting sqref="H86:H1048576">
    <cfRule type="cellIs" dxfId="1131" priority="3399" operator="lessThan">
      <formula>0</formula>
    </cfRule>
  </conditionalFormatting>
  <conditionalFormatting sqref="H86:H1048576">
    <cfRule type="cellIs" dxfId="1130" priority="3398" operator="lessThan">
      <formula>0</formula>
    </cfRule>
  </conditionalFormatting>
  <conditionalFormatting sqref="H86:H1048576">
    <cfRule type="cellIs" dxfId="1129" priority="3397" operator="lessThan">
      <formula>0</formula>
    </cfRule>
  </conditionalFormatting>
  <conditionalFormatting sqref="H86:H1048576">
    <cfRule type="cellIs" dxfId="1128" priority="3396" operator="lessThan">
      <formula>0</formula>
    </cfRule>
  </conditionalFormatting>
  <conditionalFormatting sqref="H86:H1048576">
    <cfRule type="cellIs" dxfId="1127" priority="3395" operator="lessThan">
      <formula>0</formula>
    </cfRule>
  </conditionalFormatting>
  <conditionalFormatting sqref="H86:H1048576">
    <cfRule type="cellIs" dxfId="1126" priority="3394" operator="lessThan">
      <formula>0</formula>
    </cfRule>
  </conditionalFormatting>
  <conditionalFormatting sqref="H86:H1048576">
    <cfRule type="cellIs" dxfId="1125" priority="3393" operator="lessThan">
      <formula>0</formula>
    </cfRule>
  </conditionalFormatting>
  <conditionalFormatting sqref="H86:H1048576">
    <cfRule type="cellIs" dxfId="1124" priority="3392" operator="lessThan">
      <formula>0</formula>
    </cfRule>
  </conditionalFormatting>
  <conditionalFormatting sqref="H86:H1048576">
    <cfRule type="cellIs" dxfId="1123" priority="3391" operator="lessThan">
      <formula>0</formula>
    </cfRule>
  </conditionalFormatting>
  <conditionalFormatting sqref="H86:H1048576">
    <cfRule type="cellIs" dxfId="1122" priority="3390" operator="lessThan">
      <formula>0</formula>
    </cfRule>
  </conditionalFormatting>
  <conditionalFormatting sqref="H86:H1048576">
    <cfRule type="cellIs" dxfId="1121" priority="3389" operator="lessThan">
      <formula>0</formula>
    </cfRule>
  </conditionalFormatting>
  <conditionalFormatting sqref="H86:H1048576">
    <cfRule type="cellIs" dxfId="1120" priority="3388" operator="lessThan">
      <formula>0</formula>
    </cfRule>
  </conditionalFormatting>
  <conditionalFormatting sqref="H86:H1048576">
    <cfRule type="cellIs" dxfId="1119" priority="3387" operator="lessThan">
      <formula>0</formula>
    </cfRule>
  </conditionalFormatting>
  <conditionalFormatting sqref="H86:H1048576">
    <cfRule type="cellIs" dxfId="1118" priority="3386" operator="lessThan">
      <formula>0</formula>
    </cfRule>
  </conditionalFormatting>
  <conditionalFormatting sqref="H86:H1048576">
    <cfRule type="cellIs" dxfId="1117" priority="3385" operator="lessThan">
      <formula>0</formula>
    </cfRule>
  </conditionalFormatting>
  <conditionalFormatting sqref="H86:H1048576">
    <cfRule type="cellIs" dxfId="1116" priority="3384" operator="lessThan">
      <formula>0</formula>
    </cfRule>
  </conditionalFormatting>
  <conditionalFormatting sqref="H86:H1048576">
    <cfRule type="cellIs" dxfId="1115" priority="3383" operator="lessThan">
      <formula>0</formula>
    </cfRule>
  </conditionalFormatting>
  <conditionalFormatting sqref="H86:H1048576">
    <cfRule type="cellIs" dxfId="1114" priority="3382" operator="lessThan">
      <formula>0</formula>
    </cfRule>
  </conditionalFormatting>
  <conditionalFormatting sqref="H86:H1048576">
    <cfRule type="cellIs" dxfId="1113" priority="3381" operator="lessThan">
      <formula>0</formula>
    </cfRule>
  </conditionalFormatting>
  <conditionalFormatting sqref="H86:H1048576">
    <cfRule type="cellIs" dxfId="1112" priority="3380" operator="lessThan">
      <formula>0</formula>
    </cfRule>
  </conditionalFormatting>
  <conditionalFormatting sqref="H86:H1048576">
    <cfRule type="cellIs" dxfId="1111" priority="3379" operator="lessThan">
      <formula>0</formula>
    </cfRule>
  </conditionalFormatting>
  <conditionalFormatting sqref="H86:H1048576">
    <cfRule type="cellIs" dxfId="1110" priority="3378" operator="lessThan">
      <formula>0</formula>
    </cfRule>
  </conditionalFormatting>
  <conditionalFormatting sqref="H86:H1048576">
    <cfRule type="cellIs" dxfId="1109" priority="3377" operator="lessThan">
      <formula>0</formula>
    </cfRule>
  </conditionalFormatting>
  <conditionalFormatting sqref="H86:H1048576">
    <cfRule type="cellIs" dxfId="1108" priority="3376" operator="lessThan">
      <formula>0</formula>
    </cfRule>
  </conditionalFormatting>
  <conditionalFormatting sqref="H86:H1048576">
    <cfRule type="cellIs" dxfId="1107" priority="3375" operator="lessThan">
      <formula>0</formula>
    </cfRule>
  </conditionalFormatting>
  <conditionalFormatting sqref="H86:H1048576">
    <cfRule type="cellIs" dxfId="1106" priority="3374" operator="lessThan">
      <formula>0</formula>
    </cfRule>
  </conditionalFormatting>
  <conditionalFormatting sqref="H86:H1048576">
    <cfRule type="cellIs" dxfId="1105" priority="3373" operator="lessThan">
      <formula>0</formula>
    </cfRule>
  </conditionalFormatting>
  <conditionalFormatting sqref="H86:H1048576">
    <cfRule type="cellIs" dxfId="1104" priority="3372" operator="lessThan">
      <formula>0</formula>
    </cfRule>
  </conditionalFormatting>
  <conditionalFormatting sqref="H86:H1048576">
    <cfRule type="cellIs" dxfId="1103" priority="3371" operator="lessThan">
      <formula>0</formula>
    </cfRule>
  </conditionalFormatting>
  <conditionalFormatting sqref="H86:H1048576">
    <cfRule type="cellIs" dxfId="1102" priority="3370" operator="lessThan">
      <formula>0</formula>
    </cfRule>
  </conditionalFormatting>
  <conditionalFormatting sqref="H86:H1048576">
    <cfRule type="cellIs" dxfId="1101" priority="3369" operator="lessThan">
      <formula>0</formula>
    </cfRule>
  </conditionalFormatting>
  <conditionalFormatting sqref="H86:H1048576">
    <cfRule type="cellIs" dxfId="1100" priority="3368" operator="lessThan">
      <formula>0</formula>
    </cfRule>
  </conditionalFormatting>
  <conditionalFormatting sqref="H86:H1048576">
    <cfRule type="cellIs" dxfId="1099" priority="3367" operator="lessThan">
      <formula>0</formula>
    </cfRule>
  </conditionalFormatting>
  <conditionalFormatting sqref="H86:H1048576">
    <cfRule type="cellIs" dxfId="1098" priority="3366" operator="lessThan">
      <formula>0</formula>
    </cfRule>
  </conditionalFormatting>
  <conditionalFormatting sqref="H86:H1048576">
    <cfRule type="cellIs" dxfId="1097" priority="3365" operator="lessThan">
      <formula>0</formula>
    </cfRule>
  </conditionalFormatting>
  <conditionalFormatting sqref="H86:H1048576">
    <cfRule type="cellIs" dxfId="1096" priority="3364" operator="lessThan">
      <formula>0</formula>
    </cfRule>
  </conditionalFormatting>
  <conditionalFormatting sqref="H86:H1048576">
    <cfRule type="cellIs" dxfId="1095" priority="3363" operator="lessThan">
      <formula>0</formula>
    </cfRule>
  </conditionalFormatting>
  <conditionalFormatting sqref="H86:H1048576">
    <cfRule type="cellIs" dxfId="1094" priority="3362" operator="lessThan">
      <formula>0</formula>
    </cfRule>
  </conditionalFormatting>
  <conditionalFormatting sqref="H86:H1048576">
    <cfRule type="cellIs" dxfId="1093" priority="3361" operator="lessThan">
      <formula>0</formula>
    </cfRule>
  </conditionalFormatting>
  <conditionalFormatting sqref="H86:H1048576">
    <cfRule type="cellIs" dxfId="1092" priority="3360" operator="lessThan">
      <formula>0</formula>
    </cfRule>
  </conditionalFormatting>
  <conditionalFormatting sqref="H86:H1048576">
    <cfRule type="cellIs" dxfId="1091" priority="3359" operator="lessThan">
      <formula>0</formula>
    </cfRule>
  </conditionalFormatting>
  <conditionalFormatting sqref="H86:H1048576">
    <cfRule type="cellIs" dxfId="1090" priority="3358" operator="lessThan">
      <formula>0</formula>
    </cfRule>
  </conditionalFormatting>
  <conditionalFormatting sqref="H86:H1048576">
    <cfRule type="cellIs" dxfId="1089" priority="3357" operator="lessThan">
      <formula>0</formula>
    </cfRule>
  </conditionalFormatting>
  <conditionalFormatting sqref="H86:H1048576">
    <cfRule type="cellIs" dxfId="1088" priority="3356" operator="lessThan">
      <formula>0</formula>
    </cfRule>
  </conditionalFormatting>
  <conditionalFormatting sqref="H86:H1048576">
    <cfRule type="cellIs" dxfId="1087" priority="3355" operator="lessThan">
      <formula>0</formula>
    </cfRule>
  </conditionalFormatting>
  <conditionalFormatting sqref="H86:H1048576">
    <cfRule type="cellIs" dxfId="1086" priority="3354" operator="lessThan">
      <formula>0</formula>
    </cfRule>
  </conditionalFormatting>
  <conditionalFormatting sqref="H86:H1048576">
    <cfRule type="cellIs" dxfId="1085" priority="3353" operator="lessThan">
      <formula>0</formula>
    </cfRule>
  </conditionalFormatting>
  <conditionalFormatting sqref="H86:H1048576">
    <cfRule type="cellIs" dxfId="1084" priority="3352" operator="lessThan">
      <formula>0</formula>
    </cfRule>
  </conditionalFormatting>
  <conditionalFormatting sqref="H86:H1048576">
    <cfRule type="cellIs" dxfId="1083" priority="3351" operator="lessThan">
      <formula>0</formula>
    </cfRule>
  </conditionalFormatting>
  <conditionalFormatting sqref="H86:H1048576">
    <cfRule type="cellIs" dxfId="1082" priority="3350" operator="lessThan">
      <formula>0</formula>
    </cfRule>
  </conditionalFormatting>
  <conditionalFormatting sqref="H86:H1048576">
    <cfRule type="cellIs" dxfId="1081" priority="3349" operator="lessThan">
      <formula>0</formula>
    </cfRule>
  </conditionalFormatting>
  <conditionalFormatting sqref="H86:H1048576">
    <cfRule type="cellIs" dxfId="1080" priority="3348" operator="lessThan">
      <formula>0</formula>
    </cfRule>
  </conditionalFormatting>
  <conditionalFormatting sqref="H86:H1048576">
    <cfRule type="cellIs" dxfId="1079" priority="3347" operator="lessThan">
      <formula>0</formula>
    </cfRule>
  </conditionalFormatting>
  <conditionalFormatting sqref="H86:H1048576">
    <cfRule type="cellIs" dxfId="1078" priority="3346" operator="lessThan">
      <formula>0</formula>
    </cfRule>
  </conditionalFormatting>
  <conditionalFormatting sqref="H86:H1048576">
    <cfRule type="cellIs" dxfId="1077" priority="3345" operator="lessThan">
      <formula>0</formula>
    </cfRule>
  </conditionalFormatting>
  <conditionalFormatting sqref="H86:H1048576">
    <cfRule type="cellIs" dxfId="1076" priority="3344" operator="lessThan">
      <formula>0</formula>
    </cfRule>
  </conditionalFormatting>
  <conditionalFormatting sqref="H86:H1048576">
    <cfRule type="cellIs" dxfId="1075" priority="3343" operator="lessThan">
      <formula>0</formula>
    </cfRule>
  </conditionalFormatting>
  <conditionalFormatting sqref="H86:H1048576">
    <cfRule type="cellIs" dxfId="1074" priority="3342" operator="lessThan">
      <formula>0</formula>
    </cfRule>
  </conditionalFormatting>
  <conditionalFormatting sqref="H86:H1048576">
    <cfRule type="cellIs" dxfId="1073" priority="3341" operator="lessThan">
      <formula>0</formula>
    </cfRule>
  </conditionalFormatting>
  <conditionalFormatting sqref="H86:H1048576">
    <cfRule type="cellIs" dxfId="1072" priority="3340" operator="lessThan">
      <formula>0</formula>
    </cfRule>
  </conditionalFormatting>
  <conditionalFormatting sqref="H86:H1048576">
    <cfRule type="cellIs" dxfId="1071" priority="3339" operator="lessThan">
      <formula>0</formula>
    </cfRule>
  </conditionalFormatting>
  <conditionalFormatting sqref="H86:H1048576">
    <cfRule type="cellIs" dxfId="1070" priority="3338" operator="lessThan">
      <formula>0</formula>
    </cfRule>
  </conditionalFormatting>
  <conditionalFormatting sqref="H86:H1048576">
    <cfRule type="cellIs" dxfId="1069" priority="3337" operator="lessThan">
      <formula>0</formula>
    </cfRule>
  </conditionalFormatting>
  <conditionalFormatting sqref="H86:H1048576">
    <cfRule type="cellIs" dxfId="1068" priority="3336" operator="lessThan">
      <formula>0</formula>
    </cfRule>
  </conditionalFormatting>
  <conditionalFormatting sqref="H86:H1048576">
    <cfRule type="cellIs" dxfId="1067" priority="3335" operator="lessThan">
      <formula>0</formula>
    </cfRule>
  </conditionalFormatting>
  <conditionalFormatting sqref="H86:H1048576">
    <cfRule type="cellIs" dxfId="1066" priority="3334" operator="lessThan">
      <formula>0</formula>
    </cfRule>
  </conditionalFormatting>
  <conditionalFormatting sqref="H86:H1048576">
    <cfRule type="cellIs" dxfId="1065" priority="3333" operator="lessThan">
      <formula>0</formula>
    </cfRule>
  </conditionalFormatting>
  <conditionalFormatting sqref="H86:H1048576">
    <cfRule type="cellIs" dxfId="1064" priority="3332" operator="lessThan">
      <formula>0</formula>
    </cfRule>
  </conditionalFormatting>
  <conditionalFormatting sqref="H86:H1048576">
    <cfRule type="cellIs" dxfId="1063" priority="3331" operator="lessThan">
      <formula>0</formula>
    </cfRule>
  </conditionalFormatting>
  <conditionalFormatting sqref="H86:H1048576">
    <cfRule type="cellIs" dxfId="1062" priority="3330" operator="lessThan">
      <formula>0</formula>
    </cfRule>
  </conditionalFormatting>
  <conditionalFormatting sqref="H86:H1048576">
    <cfRule type="cellIs" dxfId="1061" priority="3329" operator="lessThan">
      <formula>0</formula>
    </cfRule>
  </conditionalFormatting>
  <conditionalFormatting sqref="H86:H1048576">
    <cfRule type="cellIs" dxfId="1060" priority="3328" operator="lessThan">
      <formula>0</formula>
    </cfRule>
  </conditionalFormatting>
  <conditionalFormatting sqref="H86:H1048576">
    <cfRule type="cellIs" dxfId="1059" priority="3327" operator="lessThan">
      <formula>0</formula>
    </cfRule>
  </conditionalFormatting>
  <conditionalFormatting sqref="H86:H1048576">
    <cfRule type="cellIs" dxfId="1058" priority="3326" operator="lessThan">
      <formula>0</formula>
    </cfRule>
  </conditionalFormatting>
  <conditionalFormatting sqref="H86:H1048576">
    <cfRule type="cellIs" dxfId="1057" priority="3325" operator="lessThan">
      <formula>0</formula>
    </cfRule>
  </conditionalFormatting>
  <conditionalFormatting sqref="H86:H1048576">
    <cfRule type="cellIs" dxfId="1056" priority="3324" operator="lessThan">
      <formula>0</formula>
    </cfRule>
  </conditionalFormatting>
  <conditionalFormatting sqref="H86:H1048576">
    <cfRule type="cellIs" dxfId="1055" priority="3323" operator="lessThan">
      <formula>0</formula>
    </cfRule>
  </conditionalFormatting>
  <conditionalFormatting sqref="H86:H1048576">
    <cfRule type="cellIs" dxfId="1054" priority="3322" operator="lessThan">
      <formula>0</formula>
    </cfRule>
  </conditionalFormatting>
  <conditionalFormatting sqref="H86:H1048576">
    <cfRule type="cellIs" dxfId="1053" priority="3321" operator="lessThan">
      <formula>0</formula>
    </cfRule>
  </conditionalFormatting>
  <conditionalFormatting sqref="H86:H1048576">
    <cfRule type="cellIs" dxfId="1052" priority="3320" operator="lessThan">
      <formula>0</formula>
    </cfRule>
  </conditionalFormatting>
  <conditionalFormatting sqref="H86:H1048576">
    <cfRule type="cellIs" dxfId="1051" priority="3319" operator="lessThan">
      <formula>0</formula>
    </cfRule>
  </conditionalFormatting>
  <conditionalFormatting sqref="H86:H1048576">
    <cfRule type="cellIs" dxfId="1050" priority="3318" operator="lessThan">
      <formula>0</formula>
    </cfRule>
  </conditionalFormatting>
  <conditionalFormatting sqref="H86:H1048576">
    <cfRule type="cellIs" dxfId="1049" priority="3317" operator="lessThan">
      <formula>0</formula>
    </cfRule>
  </conditionalFormatting>
  <conditionalFormatting sqref="H86:H1048576">
    <cfRule type="cellIs" dxfId="1048" priority="3316" operator="lessThan">
      <formula>0</formula>
    </cfRule>
  </conditionalFormatting>
  <conditionalFormatting sqref="H86:H1048576">
    <cfRule type="cellIs" dxfId="1047" priority="3315" operator="lessThan">
      <formula>0</formula>
    </cfRule>
  </conditionalFormatting>
  <conditionalFormatting sqref="H86:H1048576">
    <cfRule type="cellIs" dxfId="1046" priority="3314" operator="lessThan">
      <formula>0</formula>
    </cfRule>
  </conditionalFormatting>
  <conditionalFormatting sqref="H86:H1048576">
    <cfRule type="cellIs" dxfId="1045" priority="3313" operator="lessThan">
      <formula>0</formula>
    </cfRule>
  </conditionalFormatting>
  <conditionalFormatting sqref="H86:H1048576">
    <cfRule type="cellIs" dxfId="1044" priority="3312" operator="lessThan">
      <formula>0</formula>
    </cfRule>
  </conditionalFormatting>
  <conditionalFormatting sqref="H86:H1048576">
    <cfRule type="cellIs" dxfId="1043" priority="3311" operator="lessThan">
      <formula>0</formula>
    </cfRule>
  </conditionalFormatting>
  <conditionalFormatting sqref="H86:H1048576">
    <cfRule type="cellIs" dxfId="1042" priority="3310" operator="lessThan">
      <formula>0</formula>
    </cfRule>
  </conditionalFormatting>
  <conditionalFormatting sqref="H86:H1048576">
    <cfRule type="cellIs" dxfId="1041" priority="3309" operator="lessThan">
      <formula>0</formula>
    </cfRule>
  </conditionalFormatting>
  <conditionalFormatting sqref="H86:H1048576">
    <cfRule type="cellIs" dxfId="1040" priority="3308" operator="lessThan">
      <formula>0</formula>
    </cfRule>
  </conditionalFormatting>
  <conditionalFormatting sqref="H86:H1048576">
    <cfRule type="cellIs" dxfId="1039" priority="3307" operator="lessThan">
      <formula>0</formula>
    </cfRule>
  </conditionalFormatting>
  <conditionalFormatting sqref="H86:H1048576">
    <cfRule type="cellIs" dxfId="1038" priority="3306" operator="lessThan">
      <formula>0</formula>
    </cfRule>
  </conditionalFormatting>
  <conditionalFormatting sqref="H86:H1048576">
    <cfRule type="cellIs" dxfId="1037" priority="3305" operator="lessThan">
      <formula>0</formula>
    </cfRule>
  </conditionalFormatting>
  <conditionalFormatting sqref="H86:H1048576">
    <cfRule type="cellIs" dxfId="1036" priority="3304" operator="lessThan">
      <formula>0</formula>
    </cfRule>
  </conditionalFormatting>
  <conditionalFormatting sqref="H86:H1048576">
    <cfRule type="cellIs" dxfId="1035" priority="3303" operator="lessThan">
      <formula>0</formula>
    </cfRule>
  </conditionalFormatting>
  <conditionalFormatting sqref="H86:H1048576">
    <cfRule type="cellIs" dxfId="1034" priority="3302" operator="lessThan">
      <formula>0</formula>
    </cfRule>
  </conditionalFormatting>
  <conditionalFormatting sqref="H86:H1048576">
    <cfRule type="cellIs" dxfId="1033" priority="3301" operator="lessThan">
      <formula>0</formula>
    </cfRule>
  </conditionalFormatting>
  <conditionalFormatting sqref="H86:H1048576">
    <cfRule type="cellIs" dxfId="1032" priority="3300" operator="lessThan">
      <formula>0</formula>
    </cfRule>
  </conditionalFormatting>
  <conditionalFormatting sqref="H86:H1048576">
    <cfRule type="cellIs" dxfId="1031" priority="3299" operator="lessThan">
      <formula>0</formula>
    </cfRule>
  </conditionalFormatting>
  <conditionalFormatting sqref="H86:H1048576">
    <cfRule type="cellIs" dxfId="1030" priority="3298" operator="lessThan">
      <formula>0</formula>
    </cfRule>
  </conditionalFormatting>
  <conditionalFormatting sqref="H86:H1048576">
    <cfRule type="cellIs" dxfId="1029" priority="3297" operator="lessThan">
      <formula>0</formula>
    </cfRule>
  </conditionalFormatting>
  <conditionalFormatting sqref="H86:H1048576">
    <cfRule type="cellIs" dxfId="1028" priority="3296" operator="lessThan">
      <formula>0</formula>
    </cfRule>
  </conditionalFormatting>
  <conditionalFormatting sqref="H86:H1048576">
    <cfRule type="cellIs" dxfId="1027" priority="3295" operator="lessThan">
      <formula>0</formula>
    </cfRule>
  </conditionalFormatting>
  <conditionalFormatting sqref="H86:H1048576">
    <cfRule type="cellIs" dxfId="1026" priority="3294" operator="lessThan">
      <formula>0</formula>
    </cfRule>
  </conditionalFormatting>
  <conditionalFormatting sqref="H86:H1048576">
    <cfRule type="cellIs" dxfId="1025" priority="3293" operator="lessThan">
      <formula>0</formula>
    </cfRule>
  </conditionalFormatting>
  <conditionalFormatting sqref="H86:H1048576">
    <cfRule type="cellIs" dxfId="1024" priority="3292" operator="lessThan">
      <formula>0</formula>
    </cfRule>
  </conditionalFormatting>
  <conditionalFormatting sqref="H86:H1048576">
    <cfRule type="cellIs" dxfId="1023" priority="3291" operator="lessThan">
      <formula>0</formula>
    </cfRule>
  </conditionalFormatting>
  <conditionalFormatting sqref="H86:H1048576">
    <cfRule type="cellIs" dxfId="1022" priority="3290" operator="lessThan">
      <formula>0</formula>
    </cfRule>
  </conditionalFormatting>
  <conditionalFormatting sqref="H86:H1048576">
    <cfRule type="cellIs" dxfId="1021" priority="3289" operator="lessThan">
      <formula>0</formula>
    </cfRule>
  </conditionalFormatting>
  <conditionalFormatting sqref="H86:H1048576">
    <cfRule type="cellIs" dxfId="1020" priority="3288" operator="lessThan">
      <formula>0</formula>
    </cfRule>
  </conditionalFormatting>
  <conditionalFormatting sqref="H86:H1048576">
    <cfRule type="cellIs" dxfId="1019" priority="3287" operator="lessThan">
      <formula>0</formula>
    </cfRule>
  </conditionalFormatting>
  <conditionalFormatting sqref="H86:H1048576">
    <cfRule type="cellIs" dxfId="1018" priority="3286" operator="lessThan">
      <formula>0</formula>
    </cfRule>
  </conditionalFormatting>
  <conditionalFormatting sqref="H86:H1048576">
    <cfRule type="cellIs" dxfId="1017" priority="3285" operator="lessThan">
      <formula>0</formula>
    </cfRule>
  </conditionalFormatting>
  <conditionalFormatting sqref="H86:H1048576">
    <cfRule type="cellIs" dxfId="1016" priority="3284" operator="lessThan">
      <formula>0</formula>
    </cfRule>
  </conditionalFormatting>
  <conditionalFormatting sqref="H86:H1048576">
    <cfRule type="cellIs" dxfId="1015" priority="3283" operator="lessThan">
      <formula>0</formula>
    </cfRule>
  </conditionalFormatting>
  <conditionalFormatting sqref="H86:H1048576">
    <cfRule type="cellIs" dxfId="1014" priority="3282" operator="lessThan">
      <formula>0</formula>
    </cfRule>
  </conditionalFormatting>
  <conditionalFormatting sqref="H86:H1048576">
    <cfRule type="cellIs" dxfId="1013" priority="3281" operator="lessThan">
      <formula>0</formula>
    </cfRule>
  </conditionalFormatting>
  <conditionalFormatting sqref="H86:H1048576">
    <cfRule type="cellIs" dxfId="1012" priority="3280" operator="lessThan">
      <formula>0</formula>
    </cfRule>
  </conditionalFormatting>
  <conditionalFormatting sqref="H86:H1048576">
    <cfRule type="cellIs" dxfId="1011" priority="3279" operator="lessThan">
      <formula>0</formula>
    </cfRule>
  </conditionalFormatting>
  <conditionalFormatting sqref="H86:H1048576">
    <cfRule type="cellIs" dxfId="1010" priority="3278" operator="lessThan">
      <formula>0</formula>
    </cfRule>
  </conditionalFormatting>
  <conditionalFormatting sqref="H86:H1048576">
    <cfRule type="cellIs" dxfId="1009" priority="3277" operator="lessThan">
      <formula>0</formula>
    </cfRule>
  </conditionalFormatting>
  <conditionalFormatting sqref="H86:H1048576">
    <cfRule type="cellIs" dxfId="1008" priority="3276" operator="lessThan">
      <formula>0</formula>
    </cfRule>
  </conditionalFormatting>
  <conditionalFormatting sqref="H86:H1048576">
    <cfRule type="cellIs" dxfId="1007" priority="3275" operator="lessThan">
      <formula>0</formula>
    </cfRule>
  </conditionalFormatting>
  <conditionalFormatting sqref="H86:H1048576">
    <cfRule type="cellIs" dxfId="1006" priority="3274" operator="lessThan">
      <formula>0</formula>
    </cfRule>
  </conditionalFormatting>
  <conditionalFormatting sqref="H86:H1048576">
    <cfRule type="cellIs" dxfId="1005" priority="3273" operator="lessThan">
      <formula>0</formula>
    </cfRule>
  </conditionalFormatting>
  <conditionalFormatting sqref="H86:H1048576">
    <cfRule type="cellIs" dxfId="1004" priority="3272" operator="lessThan">
      <formula>0</formula>
    </cfRule>
  </conditionalFormatting>
  <conditionalFormatting sqref="H86:H1048576">
    <cfRule type="cellIs" dxfId="1003" priority="3271" operator="lessThan">
      <formula>0</formula>
    </cfRule>
  </conditionalFormatting>
  <conditionalFormatting sqref="H86:H1048576">
    <cfRule type="cellIs" dxfId="1002" priority="3270" operator="lessThan">
      <formula>0</formula>
    </cfRule>
  </conditionalFormatting>
  <conditionalFormatting sqref="H86:H1048576">
    <cfRule type="cellIs" dxfId="1001" priority="3269" operator="lessThan">
      <formula>0</formula>
    </cfRule>
  </conditionalFormatting>
  <conditionalFormatting sqref="H86:H1048576">
    <cfRule type="cellIs" dxfId="1000" priority="3268" operator="lessThan">
      <formula>0</formula>
    </cfRule>
  </conditionalFormatting>
  <conditionalFormatting sqref="H86:H1048576">
    <cfRule type="cellIs" dxfId="999" priority="3267" operator="lessThan">
      <formula>0</formula>
    </cfRule>
  </conditionalFormatting>
  <conditionalFormatting sqref="H86:H1048576">
    <cfRule type="cellIs" dxfId="998" priority="3266" operator="lessThan">
      <formula>0</formula>
    </cfRule>
  </conditionalFormatting>
  <conditionalFormatting sqref="H86:H1048576">
    <cfRule type="cellIs" dxfId="997" priority="3265" operator="lessThan">
      <formula>0</formula>
    </cfRule>
  </conditionalFormatting>
  <conditionalFormatting sqref="H86:H1048576">
    <cfRule type="cellIs" dxfId="996" priority="3264" operator="lessThan">
      <formula>0</formula>
    </cfRule>
  </conditionalFormatting>
  <conditionalFormatting sqref="H86:H1048576">
    <cfRule type="cellIs" dxfId="995" priority="3263" operator="lessThan">
      <formula>0</formula>
    </cfRule>
  </conditionalFormatting>
  <conditionalFormatting sqref="H86:H1048576">
    <cfRule type="cellIs" dxfId="994" priority="3262" operator="lessThan">
      <formula>0</formula>
    </cfRule>
  </conditionalFormatting>
  <conditionalFormatting sqref="H86:H1048576">
    <cfRule type="cellIs" dxfId="993" priority="3261" operator="lessThan">
      <formula>0</formula>
    </cfRule>
  </conditionalFormatting>
  <conditionalFormatting sqref="H86:H1048576">
    <cfRule type="cellIs" dxfId="992" priority="3260" operator="lessThan">
      <formula>0</formula>
    </cfRule>
  </conditionalFormatting>
  <conditionalFormatting sqref="H86:H1048576">
    <cfRule type="cellIs" dxfId="991" priority="3259" operator="lessThan">
      <formula>0</formula>
    </cfRule>
  </conditionalFormatting>
  <conditionalFormatting sqref="H86:H1048576">
    <cfRule type="cellIs" dxfId="990" priority="3258" operator="lessThan">
      <formula>0</formula>
    </cfRule>
  </conditionalFormatting>
  <conditionalFormatting sqref="H86:H1048576">
    <cfRule type="cellIs" dxfId="989" priority="3257" operator="lessThan">
      <formula>0</formula>
    </cfRule>
  </conditionalFormatting>
  <conditionalFormatting sqref="H86:H1048576">
    <cfRule type="cellIs" dxfId="988" priority="3256" operator="lessThan">
      <formula>0</formula>
    </cfRule>
  </conditionalFormatting>
  <conditionalFormatting sqref="H86:H1048576">
    <cfRule type="cellIs" dxfId="987" priority="3255" operator="lessThan">
      <formula>0</formula>
    </cfRule>
  </conditionalFormatting>
  <conditionalFormatting sqref="H86:H1048576">
    <cfRule type="cellIs" dxfId="986" priority="3254" operator="lessThan">
      <formula>0</formula>
    </cfRule>
  </conditionalFormatting>
  <conditionalFormatting sqref="H86:H1048576">
    <cfRule type="cellIs" dxfId="985" priority="3253" operator="lessThan">
      <formula>0</formula>
    </cfRule>
  </conditionalFormatting>
  <conditionalFormatting sqref="H86:H1048576">
    <cfRule type="cellIs" dxfId="984" priority="3252" operator="lessThan">
      <formula>0</formula>
    </cfRule>
  </conditionalFormatting>
  <conditionalFormatting sqref="H86:H1048576">
    <cfRule type="cellIs" dxfId="983" priority="3251" operator="lessThan">
      <formula>0</formula>
    </cfRule>
  </conditionalFormatting>
  <conditionalFormatting sqref="H86:H1048576">
    <cfRule type="cellIs" dxfId="982" priority="3250" operator="lessThan">
      <formula>0</formula>
    </cfRule>
  </conditionalFormatting>
  <conditionalFormatting sqref="H86:H1048576">
    <cfRule type="cellIs" dxfId="981" priority="3249" operator="lessThan">
      <formula>0</formula>
    </cfRule>
  </conditionalFormatting>
  <conditionalFormatting sqref="H86:H1048576">
    <cfRule type="cellIs" dxfId="980" priority="3248" operator="lessThan">
      <formula>0</formula>
    </cfRule>
  </conditionalFormatting>
  <conditionalFormatting sqref="H86:H1048576">
    <cfRule type="cellIs" dxfId="979" priority="3247" operator="lessThan">
      <formula>0</formula>
    </cfRule>
  </conditionalFormatting>
  <conditionalFormatting sqref="H86:H1048576">
    <cfRule type="cellIs" dxfId="978" priority="3246" operator="lessThan">
      <formula>0</formula>
    </cfRule>
  </conditionalFormatting>
  <conditionalFormatting sqref="H86:H1048576">
    <cfRule type="cellIs" dxfId="977" priority="3245" operator="lessThan">
      <formula>0</formula>
    </cfRule>
  </conditionalFormatting>
  <conditionalFormatting sqref="H86:H1048576">
    <cfRule type="cellIs" dxfId="976" priority="3244" operator="lessThan">
      <formula>0</formula>
    </cfRule>
  </conditionalFormatting>
  <conditionalFormatting sqref="H86:H1048576">
    <cfRule type="cellIs" dxfId="975" priority="3243" operator="lessThan">
      <formula>0</formula>
    </cfRule>
  </conditionalFormatting>
  <conditionalFormatting sqref="H86:H1048576">
    <cfRule type="cellIs" dxfId="974" priority="3242" operator="lessThan">
      <formula>0</formula>
    </cfRule>
  </conditionalFormatting>
  <conditionalFormatting sqref="H86:H1048576">
    <cfRule type="cellIs" dxfId="973" priority="3241" operator="lessThan">
      <formula>0</formula>
    </cfRule>
  </conditionalFormatting>
  <conditionalFormatting sqref="H86:H1048576">
    <cfRule type="cellIs" dxfId="972" priority="3240" operator="lessThan">
      <formula>0</formula>
    </cfRule>
  </conditionalFormatting>
  <conditionalFormatting sqref="H86:H1048576">
    <cfRule type="cellIs" dxfId="971" priority="3239" operator="lessThan">
      <formula>0</formula>
    </cfRule>
  </conditionalFormatting>
  <conditionalFormatting sqref="H86:H1048576">
    <cfRule type="cellIs" dxfId="970" priority="3238" operator="lessThan">
      <formula>0</formula>
    </cfRule>
  </conditionalFormatting>
  <conditionalFormatting sqref="H10:H1048576">
    <cfRule type="cellIs" dxfId="969" priority="3237" operator="lessThan">
      <formula>0</formula>
    </cfRule>
  </conditionalFormatting>
  <conditionalFormatting sqref="H10:H1048576">
    <cfRule type="cellIs" dxfId="968" priority="3236" operator="lessThan">
      <formula>0</formula>
    </cfRule>
  </conditionalFormatting>
  <conditionalFormatting sqref="H10:H1048576">
    <cfRule type="cellIs" dxfId="967" priority="3235" operator="lessThan">
      <formula>0</formula>
    </cfRule>
  </conditionalFormatting>
  <conditionalFormatting sqref="H10:H1048576">
    <cfRule type="cellIs" dxfId="966" priority="3234" operator="lessThan">
      <formula>0</formula>
    </cfRule>
  </conditionalFormatting>
  <conditionalFormatting sqref="H10:H1048576">
    <cfRule type="cellIs" dxfId="965" priority="3233" operator="lessThan">
      <formula>0</formula>
    </cfRule>
  </conditionalFormatting>
  <conditionalFormatting sqref="H10:H1048576">
    <cfRule type="cellIs" dxfId="964" priority="3232" operator="lessThan">
      <formula>0</formula>
    </cfRule>
  </conditionalFormatting>
  <conditionalFormatting sqref="H10:H1048576">
    <cfRule type="cellIs" dxfId="963" priority="3231" operator="lessThan">
      <formula>0</formula>
    </cfRule>
  </conditionalFormatting>
  <conditionalFormatting sqref="H10:H1048576">
    <cfRule type="cellIs" dxfId="962" priority="3230" operator="lessThan">
      <formula>0</formula>
    </cfRule>
  </conditionalFormatting>
  <conditionalFormatting sqref="H10:H1048576">
    <cfRule type="cellIs" dxfId="961" priority="3229" operator="lessThan">
      <formula>0</formula>
    </cfRule>
  </conditionalFormatting>
  <conditionalFormatting sqref="H10:H1048576">
    <cfRule type="cellIs" dxfId="960" priority="3228" operator="lessThan">
      <formula>0</formula>
    </cfRule>
  </conditionalFormatting>
  <conditionalFormatting sqref="H10:H1048576">
    <cfRule type="cellIs" dxfId="959" priority="3227" operator="lessThan">
      <formula>0</formula>
    </cfRule>
  </conditionalFormatting>
  <conditionalFormatting sqref="H10:H1048576">
    <cfRule type="cellIs" dxfId="958" priority="3226" operator="lessThan">
      <formula>0</formula>
    </cfRule>
  </conditionalFormatting>
  <conditionalFormatting sqref="H10:H1048576">
    <cfRule type="cellIs" dxfId="957" priority="3225" operator="lessThan">
      <formula>0</formula>
    </cfRule>
  </conditionalFormatting>
  <conditionalFormatting sqref="H10:H1048576">
    <cfRule type="cellIs" dxfId="956" priority="3224" operator="lessThan">
      <formula>0</formula>
    </cfRule>
  </conditionalFormatting>
  <conditionalFormatting sqref="H10:H1048576">
    <cfRule type="cellIs" dxfId="955" priority="3223" operator="lessThan">
      <formula>0</formula>
    </cfRule>
  </conditionalFormatting>
  <conditionalFormatting sqref="H10:H1048576">
    <cfRule type="cellIs" dxfId="954" priority="3222" operator="lessThan">
      <formula>0</formula>
    </cfRule>
  </conditionalFormatting>
  <conditionalFormatting sqref="H10:H1048576">
    <cfRule type="cellIs" dxfId="953" priority="3221" operator="lessThan">
      <formula>0</formula>
    </cfRule>
  </conditionalFormatting>
  <conditionalFormatting sqref="H10:H1048576">
    <cfRule type="cellIs" dxfId="952" priority="3220" operator="lessThan">
      <formula>0</formula>
    </cfRule>
  </conditionalFormatting>
  <conditionalFormatting sqref="H10:H1048576">
    <cfRule type="cellIs" dxfId="951" priority="3219" operator="lessThan">
      <formula>0</formula>
    </cfRule>
  </conditionalFormatting>
  <conditionalFormatting sqref="H10:H1048576">
    <cfRule type="cellIs" dxfId="950" priority="3218" operator="lessThan">
      <formula>0</formula>
    </cfRule>
  </conditionalFormatting>
  <conditionalFormatting sqref="H10:H1048576">
    <cfRule type="cellIs" dxfId="949" priority="3217" operator="lessThan">
      <formula>0</formula>
    </cfRule>
  </conditionalFormatting>
  <conditionalFormatting sqref="H10:H1048576">
    <cfRule type="cellIs" dxfId="948" priority="3216" operator="lessThan">
      <formula>0</formula>
    </cfRule>
  </conditionalFormatting>
  <conditionalFormatting sqref="H10:H1048576">
    <cfRule type="cellIs" dxfId="947" priority="3215" operator="lessThan">
      <formula>0</formula>
    </cfRule>
  </conditionalFormatting>
  <conditionalFormatting sqref="H10:H1048576">
    <cfRule type="cellIs" dxfId="946" priority="3214" operator="lessThan">
      <formula>0</formula>
    </cfRule>
  </conditionalFormatting>
  <conditionalFormatting sqref="H10:H1048576">
    <cfRule type="cellIs" dxfId="945" priority="3213" operator="lessThan">
      <formula>0</formula>
    </cfRule>
  </conditionalFormatting>
  <conditionalFormatting sqref="H10:H1048576">
    <cfRule type="cellIs" dxfId="944" priority="3212" operator="lessThan">
      <formula>0</formula>
    </cfRule>
  </conditionalFormatting>
  <conditionalFormatting sqref="H10:H1048576">
    <cfRule type="cellIs" dxfId="943" priority="3211" operator="lessThan">
      <formula>0</formula>
    </cfRule>
  </conditionalFormatting>
  <conditionalFormatting sqref="H10:H1048576">
    <cfRule type="cellIs" dxfId="942" priority="3210" operator="lessThan">
      <formula>0</formula>
    </cfRule>
  </conditionalFormatting>
  <conditionalFormatting sqref="H10:H1048576">
    <cfRule type="cellIs" dxfId="941" priority="3209" operator="lessThan">
      <formula>0</formula>
    </cfRule>
  </conditionalFormatting>
  <conditionalFormatting sqref="H10:H1048576">
    <cfRule type="cellIs" dxfId="940" priority="3208" operator="lessThan">
      <formula>0</formula>
    </cfRule>
  </conditionalFormatting>
  <conditionalFormatting sqref="H10:H1048576">
    <cfRule type="cellIs" dxfId="939" priority="3207" operator="lessThan">
      <formula>0</formula>
    </cfRule>
  </conditionalFormatting>
  <conditionalFormatting sqref="H10:H1048576">
    <cfRule type="cellIs" dxfId="938" priority="3206" operator="lessThan">
      <formula>0</formula>
    </cfRule>
  </conditionalFormatting>
  <conditionalFormatting sqref="H10:H1048576">
    <cfRule type="cellIs" dxfId="937" priority="3205" operator="lessThan">
      <formula>0</formula>
    </cfRule>
  </conditionalFormatting>
  <conditionalFormatting sqref="H10:H1048576">
    <cfRule type="cellIs" dxfId="936" priority="3204" operator="lessThan">
      <formula>0</formula>
    </cfRule>
  </conditionalFormatting>
  <conditionalFormatting sqref="H10:H1048576">
    <cfRule type="cellIs" dxfId="935" priority="3203" operator="lessThan">
      <formula>0</formula>
    </cfRule>
  </conditionalFormatting>
  <conditionalFormatting sqref="H10:H1048576">
    <cfRule type="cellIs" dxfId="934" priority="3202" operator="lessThan">
      <formula>0</formula>
    </cfRule>
  </conditionalFormatting>
  <conditionalFormatting sqref="H10:H1048576">
    <cfRule type="cellIs" dxfId="933" priority="3201" operator="lessThan">
      <formula>0</formula>
    </cfRule>
  </conditionalFormatting>
  <conditionalFormatting sqref="H10:H1048576">
    <cfRule type="cellIs" dxfId="932" priority="3200" operator="lessThan">
      <formula>0</formula>
    </cfRule>
  </conditionalFormatting>
  <conditionalFormatting sqref="H10:H1048576">
    <cfRule type="cellIs" dxfId="931" priority="3199" operator="lessThan">
      <formula>0</formula>
    </cfRule>
  </conditionalFormatting>
  <conditionalFormatting sqref="H10:H1048576">
    <cfRule type="cellIs" dxfId="930" priority="3198" operator="lessThan">
      <formula>0</formula>
    </cfRule>
  </conditionalFormatting>
  <conditionalFormatting sqref="H10:H1048576">
    <cfRule type="cellIs" dxfId="929" priority="3197" operator="lessThan">
      <formula>0</formula>
    </cfRule>
  </conditionalFormatting>
  <conditionalFormatting sqref="H10:H1048576">
    <cfRule type="cellIs" dxfId="928" priority="3196" operator="lessThan">
      <formula>0</formula>
    </cfRule>
  </conditionalFormatting>
  <conditionalFormatting sqref="H10:H1048576">
    <cfRule type="cellIs" dxfId="927" priority="3195" operator="lessThan">
      <formula>0</formula>
    </cfRule>
  </conditionalFormatting>
  <conditionalFormatting sqref="H10:H1048576">
    <cfRule type="cellIs" dxfId="926" priority="3194" operator="lessThan">
      <formula>0</formula>
    </cfRule>
  </conditionalFormatting>
  <conditionalFormatting sqref="H10:H1048576">
    <cfRule type="cellIs" dxfId="925" priority="3193" operator="lessThan">
      <formula>0</formula>
    </cfRule>
  </conditionalFormatting>
  <conditionalFormatting sqref="H10:H1048576">
    <cfRule type="cellIs" dxfId="924" priority="3192" operator="lessThan">
      <formula>0</formula>
    </cfRule>
  </conditionalFormatting>
  <conditionalFormatting sqref="H10:H1048576">
    <cfRule type="cellIs" dxfId="923" priority="3191" operator="lessThan">
      <formula>0</formula>
    </cfRule>
  </conditionalFormatting>
  <conditionalFormatting sqref="H10:H1048576">
    <cfRule type="cellIs" dxfId="922" priority="3190" operator="lessThan">
      <formula>0</formula>
    </cfRule>
  </conditionalFormatting>
  <conditionalFormatting sqref="H10:H1048576">
    <cfRule type="cellIs" dxfId="921" priority="3189" operator="lessThan">
      <formula>0</formula>
    </cfRule>
  </conditionalFormatting>
  <conditionalFormatting sqref="H10:H1048576">
    <cfRule type="cellIs" dxfId="920" priority="3188" operator="lessThan">
      <formula>0</formula>
    </cfRule>
  </conditionalFormatting>
  <conditionalFormatting sqref="H10:H1048576">
    <cfRule type="cellIs" dxfId="919" priority="3187" operator="lessThan">
      <formula>0</formula>
    </cfRule>
  </conditionalFormatting>
  <conditionalFormatting sqref="H10:H1048576">
    <cfRule type="cellIs" dxfId="918" priority="3186" operator="lessThan">
      <formula>0</formula>
    </cfRule>
  </conditionalFormatting>
  <conditionalFormatting sqref="H10:H1048576">
    <cfRule type="cellIs" dxfId="917" priority="3185" operator="lessThan">
      <formula>0</formula>
    </cfRule>
  </conditionalFormatting>
  <conditionalFormatting sqref="H10:H1048576">
    <cfRule type="cellIs" dxfId="916" priority="3184" operator="lessThan">
      <formula>0</formula>
    </cfRule>
  </conditionalFormatting>
  <conditionalFormatting sqref="H10:H1048576">
    <cfRule type="cellIs" dxfId="915" priority="3183" operator="lessThan">
      <formula>0</formula>
    </cfRule>
  </conditionalFormatting>
  <conditionalFormatting sqref="H10:H1048576">
    <cfRule type="cellIs" dxfId="914" priority="3182" operator="lessThan">
      <formula>0</formula>
    </cfRule>
  </conditionalFormatting>
  <conditionalFormatting sqref="H10:H1048576">
    <cfRule type="cellIs" dxfId="913" priority="3181" operator="lessThan">
      <formula>0</formula>
    </cfRule>
  </conditionalFormatting>
  <conditionalFormatting sqref="H10:H1048576">
    <cfRule type="cellIs" dxfId="912" priority="3180" operator="lessThan">
      <formula>0</formula>
    </cfRule>
  </conditionalFormatting>
  <conditionalFormatting sqref="H10:H1048576">
    <cfRule type="cellIs" dxfId="911" priority="3179" operator="lessThan">
      <formula>0</formula>
    </cfRule>
  </conditionalFormatting>
  <conditionalFormatting sqref="H10:H1048576">
    <cfRule type="cellIs" dxfId="910" priority="3178" operator="lessThan">
      <formula>0</formula>
    </cfRule>
  </conditionalFormatting>
  <conditionalFormatting sqref="H10:H1048576">
    <cfRule type="cellIs" dxfId="909" priority="3177" operator="lessThan">
      <formula>0</formula>
    </cfRule>
  </conditionalFormatting>
  <conditionalFormatting sqref="H10:H1048576">
    <cfRule type="cellIs" dxfId="908" priority="3176" operator="lessThan">
      <formula>0</formula>
    </cfRule>
  </conditionalFormatting>
  <conditionalFormatting sqref="H10:H1048576">
    <cfRule type="cellIs" dxfId="907" priority="3175" operator="lessThan">
      <formula>0</formula>
    </cfRule>
  </conditionalFormatting>
  <conditionalFormatting sqref="H10:H1048576">
    <cfRule type="cellIs" dxfId="906" priority="3174" operator="lessThan">
      <formula>0</formula>
    </cfRule>
  </conditionalFormatting>
  <conditionalFormatting sqref="H10:H1048576">
    <cfRule type="cellIs" dxfId="905" priority="3173" operator="lessThan">
      <formula>0</formula>
    </cfRule>
  </conditionalFormatting>
  <conditionalFormatting sqref="H10:H1048576">
    <cfRule type="cellIs" dxfId="904" priority="3172" operator="lessThan">
      <formula>0</formula>
    </cfRule>
  </conditionalFormatting>
  <conditionalFormatting sqref="H10:H1048576">
    <cfRule type="cellIs" dxfId="903" priority="3171" operator="lessThan">
      <formula>0</formula>
    </cfRule>
  </conditionalFormatting>
  <conditionalFormatting sqref="H10:H1048576">
    <cfRule type="cellIs" dxfId="902" priority="3170" operator="lessThan">
      <formula>0</formula>
    </cfRule>
  </conditionalFormatting>
  <conditionalFormatting sqref="H10:H1048576">
    <cfRule type="cellIs" dxfId="901" priority="3169" operator="lessThan">
      <formula>0</formula>
    </cfRule>
  </conditionalFormatting>
  <conditionalFormatting sqref="H10:H1048576">
    <cfRule type="cellIs" dxfId="900" priority="3168" operator="lessThan">
      <formula>0</formula>
    </cfRule>
  </conditionalFormatting>
  <conditionalFormatting sqref="H10:H1048576">
    <cfRule type="cellIs" dxfId="899" priority="3167" operator="lessThan">
      <formula>0</formula>
    </cfRule>
  </conditionalFormatting>
  <conditionalFormatting sqref="H10:H1048576">
    <cfRule type="cellIs" dxfId="898" priority="3166" operator="lessThan">
      <formula>0</formula>
    </cfRule>
  </conditionalFormatting>
  <conditionalFormatting sqref="H10:H1048576">
    <cfRule type="cellIs" dxfId="897" priority="3165" operator="lessThan">
      <formula>0</formula>
    </cfRule>
  </conditionalFormatting>
  <conditionalFormatting sqref="H10:H1048576">
    <cfRule type="cellIs" dxfId="896" priority="3164" operator="lessThan">
      <formula>0</formula>
    </cfRule>
  </conditionalFormatting>
  <conditionalFormatting sqref="H10:H1048576">
    <cfRule type="cellIs" dxfId="895" priority="3163" operator="lessThan">
      <formula>0</formula>
    </cfRule>
  </conditionalFormatting>
  <conditionalFormatting sqref="H10:H1048576">
    <cfRule type="cellIs" dxfId="894" priority="3162" operator="lessThan">
      <formula>0</formula>
    </cfRule>
  </conditionalFormatting>
  <conditionalFormatting sqref="H10:H1048576">
    <cfRule type="cellIs" dxfId="893" priority="3161" operator="lessThan">
      <formula>0</formula>
    </cfRule>
  </conditionalFormatting>
  <conditionalFormatting sqref="H10:H1048576">
    <cfRule type="cellIs" dxfId="892" priority="3160" operator="lessThan">
      <formula>0</formula>
    </cfRule>
  </conditionalFormatting>
  <conditionalFormatting sqref="H10:H1048576">
    <cfRule type="cellIs" dxfId="891" priority="3159" operator="lessThan">
      <formula>0</formula>
    </cfRule>
  </conditionalFormatting>
  <conditionalFormatting sqref="H10:H1048576">
    <cfRule type="cellIs" dxfId="890" priority="3158" operator="lessThan">
      <formula>0</formula>
    </cfRule>
  </conditionalFormatting>
  <conditionalFormatting sqref="H10:H1048576">
    <cfRule type="cellIs" dxfId="889" priority="3157" operator="lessThan">
      <formula>0</formula>
    </cfRule>
  </conditionalFormatting>
  <conditionalFormatting sqref="H10:H1048576">
    <cfRule type="cellIs" dxfId="888" priority="3156" operator="lessThan">
      <formula>0</formula>
    </cfRule>
  </conditionalFormatting>
  <conditionalFormatting sqref="H10:H1048576">
    <cfRule type="cellIs" dxfId="887" priority="3155" operator="lessThan">
      <formula>0</formula>
    </cfRule>
  </conditionalFormatting>
  <conditionalFormatting sqref="H10:H1048576">
    <cfRule type="cellIs" dxfId="886" priority="3154" operator="lessThan">
      <formula>0</formula>
    </cfRule>
  </conditionalFormatting>
  <conditionalFormatting sqref="H10:H1048576">
    <cfRule type="cellIs" dxfId="885" priority="3153" operator="lessThan">
      <formula>0</formula>
    </cfRule>
  </conditionalFormatting>
  <conditionalFormatting sqref="H10:H1048576">
    <cfRule type="cellIs" dxfId="884" priority="3152" operator="lessThan">
      <formula>0</formula>
    </cfRule>
  </conditionalFormatting>
  <conditionalFormatting sqref="H10:H1048576">
    <cfRule type="cellIs" dxfId="883" priority="3151" operator="lessThan">
      <formula>0</formula>
    </cfRule>
  </conditionalFormatting>
  <conditionalFormatting sqref="H10:H1048576">
    <cfRule type="cellIs" dxfId="882" priority="3150" operator="lessThan">
      <formula>0</formula>
    </cfRule>
  </conditionalFormatting>
  <conditionalFormatting sqref="H10:H1048576">
    <cfRule type="cellIs" dxfId="881" priority="3149" operator="lessThan">
      <formula>0</formula>
    </cfRule>
  </conditionalFormatting>
  <conditionalFormatting sqref="H10:H1048576">
    <cfRule type="cellIs" dxfId="880" priority="3148" operator="lessThan">
      <formula>0</formula>
    </cfRule>
  </conditionalFormatting>
  <conditionalFormatting sqref="H10:H1048576">
    <cfRule type="cellIs" dxfId="879" priority="3147" operator="lessThan">
      <formula>0</formula>
    </cfRule>
  </conditionalFormatting>
  <conditionalFormatting sqref="H10:H1048576">
    <cfRule type="cellIs" dxfId="878" priority="3146" operator="lessThan">
      <formula>0</formula>
    </cfRule>
  </conditionalFormatting>
  <conditionalFormatting sqref="H10:H1048576">
    <cfRule type="cellIs" dxfId="877" priority="3145" operator="lessThan">
      <formula>0</formula>
    </cfRule>
  </conditionalFormatting>
  <conditionalFormatting sqref="H10:H1048576">
    <cfRule type="cellIs" dxfId="876" priority="3144" operator="lessThan">
      <formula>0</formula>
    </cfRule>
  </conditionalFormatting>
  <conditionalFormatting sqref="H10:H1048576">
    <cfRule type="cellIs" dxfId="875" priority="3143" operator="lessThan">
      <formula>0</formula>
    </cfRule>
  </conditionalFormatting>
  <conditionalFormatting sqref="H10:H1048576">
    <cfRule type="cellIs" dxfId="874" priority="3142" operator="lessThan">
      <formula>0</formula>
    </cfRule>
  </conditionalFormatting>
  <conditionalFormatting sqref="H10:H1048576">
    <cfRule type="cellIs" dxfId="873" priority="3141" operator="lessThan">
      <formula>0</formula>
    </cfRule>
  </conditionalFormatting>
  <conditionalFormatting sqref="H10:H1048576">
    <cfRule type="cellIs" dxfId="872" priority="3140" operator="lessThan">
      <formula>0</formula>
    </cfRule>
  </conditionalFormatting>
  <conditionalFormatting sqref="H10:H1048576">
    <cfRule type="cellIs" dxfId="871" priority="3139" operator="lessThan">
      <formula>0</formula>
    </cfRule>
  </conditionalFormatting>
  <conditionalFormatting sqref="H10:H1048576">
    <cfRule type="cellIs" dxfId="870" priority="3138" operator="lessThan">
      <formula>0</formula>
    </cfRule>
  </conditionalFormatting>
  <conditionalFormatting sqref="H10:H1048576">
    <cfRule type="cellIs" dxfId="869" priority="3137" operator="lessThan">
      <formula>0</formula>
    </cfRule>
  </conditionalFormatting>
  <conditionalFormatting sqref="H10:H1048576">
    <cfRule type="cellIs" dxfId="868" priority="3136" operator="lessThan">
      <formula>0</formula>
    </cfRule>
  </conditionalFormatting>
  <conditionalFormatting sqref="H10:H1048576">
    <cfRule type="cellIs" dxfId="867" priority="3135" operator="lessThan">
      <formula>0</formula>
    </cfRule>
  </conditionalFormatting>
  <conditionalFormatting sqref="H10:H1048576">
    <cfRule type="cellIs" dxfId="866" priority="3134" operator="lessThan">
      <formula>0</formula>
    </cfRule>
  </conditionalFormatting>
  <conditionalFormatting sqref="H10:H1048576">
    <cfRule type="cellIs" dxfId="865" priority="3133" operator="lessThan">
      <formula>0</formula>
    </cfRule>
  </conditionalFormatting>
  <conditionalFormatting sqref="H10:H1048576">
    <cfRule type="cellIs" dxfId="864" priority="3132" operator="lessThan">
      <formula>0</formula>
    </cfRule>
  </conditionalFormatting>
  <conditionalFormatting sqref="H10:H1048576">
    <cfRule type="cellIs" dxfId="863" priority="3131" operator="lessThan">
      <formula>0</formula>
    </cfRule>
  </conditionalFormatting>
  <conditionalFormatting sqref="H10:H1048576">
    <cfRule type="cellIs" dxfId="862" priority="3130" operator="lessThan">
      <formula>0</formula>
    </cfRule>
  </conditionalFormatting>
  <conditionalFormatting sqref="H10:H1048576">
    <cfRule type="cellIs" dxfId="861" priority="3129" operator="lessThan">
      <formula>0</formula>
    </cfRule>
  </conditionalFormatting>
  <conditionalFormatting sqref="H10:H1048576">
    <cfRule type="cellIs" dxfId="860" priority="3128" operator="lessThan">
      <formula>0</formula>
    </cfRule>
  </conditionalFormatting>
  <conditionalFormatting sqref="H10:H1048576">
    <cfRule type="cellIs" dxfId="859" priority="3127" operator="lessThan">
      <formula>0</formula>
    </cfRule>
  </conditionalFormatting>
  <conditionalFormatting sqref="H10:H1048576">
    <cfRule type="cellIs" dxfId="858" priority="3126" operator="lessThan">
      <formula>0</formula>
    </cfRule>
  </conditionalFormatting>
  <conditionalFormatting sqref="H10:H1048576">
    <cfRule type="cellIs" dxfId="857" priority="3125" operator="lessThan">
      <formula>0</formula>
    </cfRule>
  </conditionalFormatting>
  <conditionalFormatting sqref="H10:H1048576">
    <cfRule type="cellIs" dxfId="856" priority="3124" operator="lessThan">
      <formula>0</formula>
    </cfRule>
  </conditionalFormatting>
  <conditionalFormatting sqref="H10:H1048576">
    <cfRule type="cellIs" dxfId="855" priority="3123" operator="lessThan">
      <formula>0</formula>
    </cfRule>
  </conditionalFormatting>
  <conditionalFormatting sqref="H10:H1048576">
    <cfRule type="cellIs" dxfId="854" priority="3122" operator="lessThan">
      <formula>0</formula>
    </cfRule>
  </conditionalFormatting>
  <conditionalFormatting sqref="H10:H1048576">
    <cfRule type="cellIs" dxfId="853" priority="3121" operator="lessThan">
      <formula>0</formula>
    </cfRule>
  </conditionalFormatting>
  <conditionalFormatting sqref="H10:H1048576">
    <cfRule type="cellIs" dxfId="852" priority="3120" operator="lessThan">
      <formula>0</formula>
    </cfRule>
  </conditionalFormatting>
  <conditionalFormatting sqref="H10:H1048576">
    <cfRule type="cellIs" dxfId="851" priority="3119" operator="lessThan">
      <formula>0</formula>
    </cfRule>
  </conditionalFormatting>
  <conditionalFormatting sqref="H10:H1048576">
    <cfRule type="cellIs" dxfId="850" priority="3118" operator="lessThan">
      <formula>0</formula>
    </cfRule>
  </conditionalFormatting>
  <conditionalFormatting sqref="H10:H1048576">
    <cfRule type="cellIs" dxfId="849" priority="3117" operator="lessThan">
      <formula>0</formula>
    </cfRule>
  </conditionalFormatting>
  <conditionalFormatting sqref="H10:H1048576">
    <cfRule type="cellIs" dxfId="848" priority="3116" operator="lessThan">
      <formula>0</formula>
    </cfRule>
  </conditionalFormatting>
  <conditionalFormatting sqref="H10:H1048576">
    <cfRule type="cellIs" dxfId="847" priority="3115" operator="lessThan">
      <formula>0</formula>
    </cfRule>
  </conditionalFormatting>
  <conditionalFormatting sqref="H10:H1048576">
    <cfRule type="cellIs" dxfId="846" priority="3114" operator="lessThan">
      <formula>0</formula>
    </cfRule>
  </conditionalFormatting>
  <conditionalFormatting sqref="H10:H1048576">
    <cfRule type="cellIs" dxfId="845" priority="3113" operator="lessThan">
      <formula>0</formula>
    </cfRule>
  </conditionalFormatting>
  <conditionalFormatting sqref="H10:H1048576">
    <cfRule type="cellIs" dxfId="844" priority="3112" operator="lessThan">
      <formula>0</formula>
    </cfRule>
  </conditionalFormatting>
  <conditionalFormatting sqref="H10:H1048576">
    <cfRule type="cellIs" dxfId="843" priority="3111" operator="lessThan">
      <formula>0</formula>
    </cfRule>
  </conditionalFormatting>
  <conditionalFormatting sqref="H10:H1048576">
    <cfRule type="cellIs" dxfId="842" priority="3110" operator="lessThan">
      <formula>0</formula>
    </cfRule>
  </conditionalFormatting>
  <conditionalFormatting sqref="H10:H1048576">
    <cfRule type="cellIs" dxfId="841" priority="3109" operator="lessThan">
      <formula>0</formula>
    </cfRule>
  </conditionalFormatting>
  <conditionalFormatting sqref="H10:H1048576">
    <cfRule type="cellIs" dxfId="840" priority="3108" operator="lessThan">
      <formula>0</formula>
    </cfRule>
  </conditionalFormatting>
  <conditionalFormatting sqref="H10:H1048576">
    <cfRule type="cellIs" dxfId="839" priority="3107" operator="lessThan">
      <formula>0</formula>
    </cfRule>
  </conditionalFormatting>
  <conditionalFormatting sqref="H10:H1048576">
    <cfRule type="cellIs" dxfId="838" priority="3106" operator="lessThan">
      <formula>0</formula>
    </cfRule>
  </conditionalFormatting>
  <conditionalFormatting sqref="H10:H1048576">
    <cfRule type="cellIs" dxfId="837" priority="3105" operator="lessThan">
      <formula>0</formula>
    </cfRule>
  </conditionalFormatting>
  <conditionalFormatting sqref="H10:H1048576">
    <cfRule type="cellIs" dxfId="836" priority="3104" operator="lessThan">
      <formula>0</formula>
    </cfRule>
  </conditionalFormatting>
  <conditionalFormatting sqref="H10:H1048576">
    <cfRule type="cellIs" dxfId="835" priority="3103" operator="lessThan">
      <formula>0</formula>
    </cfRule>
  </conditionalFormatting>
  <conditionalFormatting sqref="H10:H1048576">
    <cfRule type="cellIs" dxfId="834" priority="3102" operator="lessThan">
      <formula>0</formula>
    </cfRule>
  </conditionalFormatting>
  <conditionalFormatting sqref="H10:H1048576">
    <cfRule type="cellIs" dxfId="833" priority="3101" operator="lessThan">
      <formula>0</formula>
    </cfRule>
  </conditionalFormatting>
  <conditionalFormatting sqref="H10:H1048576">
    <cfRule type="cellIs" dxfId="832" priority="3100" operator="lessThan">
      <formula>0</formula>
    </cfRule>
  </conditionalFormatting>
  <conditionalFormatting sqref="H10:H1048576">
    <cfRule type="cellIs" dxfId="831" priority="3099" operator="lessThan">
      <formula>0</formula>
    </cfRule>
  </conditionalFormatting>
  <conditionalFormatting sqref="H10:H1048576">
    <cfRule type="cellIs" dxfId="830" priority="3098" operator="lessThan">
      <formula>0</formula>
    </cfRule>
  </conditionalFormatting>
  <conditionalFormatting sqref="H10:H1048576">
    <cfRule type="cellIs" dxfId="829" priority="3097" operator="lessThan">
      <formula>0</formula>
    </cfRule>
  </conditionalFormatting>
  <conditionalFormatting sqref="H10:H1048576">
    <cfRule type="cellIs" dxfId="828" priority="3096" operator="lessThan">
      <formula>0</formula>
    </cfRule>
  </conditionalFormatting>
  <conditionalFormatting sqref="H10:H1048576">
    <cfRule type="cellIs" dxfId="827" priority="3095" operator="lessThan">
      <formula>0</formula>
    </cfRule>
  </conditionalFormatting>
  <conditionalFormatting sqref="H10:H1048576">
    <cfRule type="cellIs" dxfId="826" priority="3094" operator="lessThan">
      <formula>0</formula>
    </cfRule>
  </conditionalFormatting>
  <conditionalFormatting sqref="H10:H1048576">
    <cfRule type="cellIs" dxfId="825" priority="3093" operator="lessThan">
      <formula>0</formula>
    </cfRule>
  </conditionalFormatting>
  <conditionalFormatting sqref="H10:H1048576">
    <cfRule type="cellIs" dxfId="824" priority="3092" operator="lessThan">
      <formula>0</formula>
    </cfRule>
  </conditionalFormatting>
  <conditionalFormatting sqref="H10:H1048576">
    <cfRule type="cellIs" dxfId="823" priority="3091" operator="lessThan">
      <formula>0</formula>
    </cfRule>
  </conditionalFormatting>
  <conditionalFormatting sqref="H10:H1048576">
    <cfRule type="cellIs" dxfId="822" priority="3090" operator="lessThan">
      <formula>0</formula>
    </cfRule>
  </conditionalFormatting>
  <conditionalFormatting sqref="H10:H1048576">
    <cfRule type="cellIs" dxfId="821" priority="3089" operator="lessThan">
      <formula>0</formula>
    </cfRule>
  </conditionalFormatting>
  <conditionalFormatting sqref="H10:H1048576">
    <cfRule type="cellIs" dxfId="820" priority="3088" operator="lessThan">
      <formula>0</formula>
    </cfRule>
  </conditionalFormatting>
  <conditionalFormatting sqref="H10:H1048576">
    <cfRule type="cellIs" dxfId="819" priority="3087" operator="lessThan">
      <formula>0</formula>
    </cfRule>
  </conditionalFormatting>
  <conditionalFormatting sqref="H10:H1048576">
    <cfRule type="cellIs" dxfId="818" priority="3086" operator="lessThan">
      <formula>0</formula>
    </cfRule>
  </conditionalFormatting>
  <conditionalFormatting sqref="H10:H1048576">
    <cfRule type="cellIs" dxfId="817" priority="3085" operator="lessThan">
      <formula>0</formula>
    </cfRule>
  </conditionalFormatting>
  <conditionalFormatting sqref="H10:H1048576">
    <cfRule type="cellIs" dxfId="816" priority="3084" operator="lessThan">
      <formula>0</formula>
    </cfRule>
  </conditionalFormatting>
  <conditionalFormatting sqref="H10:H1048576">
    <cfRule type="cellIs" dxfId="815" priority="3083" operator="lessThan">
      <formula>0</formula>
    </cfRule>
  </conditionalFormatting>
  <conditionalFormatting sqref="H10:H1048576">
    <cfRule type="cellIs" dxfId="814" priority="3082" operator="lessThan">
      <formula>0</formula>
    </cfRule>
  </conditionalFormatting>
  <conditionalFormatting sqref="H10:H1048576">
    <cfRule type="cellIs" dxfId="813" priority="3081" operator="lessThan">
      <formula>0</formula>
    </cfRule>
  </conditionalFormatting>
  <conditionalFormatting sqref="H10:H1048576">
    <cfRule type="cellIs" dxfId="812" priority="3080" operator="lessThan">
      <formula>0</formula>
    </cfRule>
  </conditionalFormatting>
  <conditionalFormatting sqref="H10:H1048576">
    <cfRule type="cellIs" dxfId="811" priority="3079" operator="lessThan">
      <formula>0</formula>
    </cfRule>
  </conditionalFormatting>
  <conditionalFormatting sqref="H10:H1048576">
    <cfRule type="cellIs" dxfId="810" priority="3078" operator="lessThan">
      <formula>0</formula>
    </cfRule>
  </conditionalFormatting>
  <conditionalFormatting sqref="H10:H1048576">
    <cfRule type="cellIs" dxfId="809" priority="3077" operator="lessThan">
      <formula>0</formula>
    </cfRule>
  </conditionalFormatting>
  <conditionalFormatting sqref="H10:H1048576">
    <cfRule type="cellIs" dxfId="808" priority="3076" operator="lessThan">
      <formula>0</formula>
    </cfRule>
  </conditionalFormatting>
  <conditionalFormatting sqref="H10:H1048576">
    <cfRule type="cellIs" dxfId="807" priority="3075" operator="lessThan">
      <formula>0</formula>
    </cfRule>
  </conditionalFormatting>
  <conditionalFormatting sqref="H10:H1048576">
    <cfRule type="cellIs" dxfId="806" priority="3074" operator="lessThan">
      <formula>0</formula>
    </cfRule>
  </conditionalFormatting>
  <conditionalFormatting sqref="H10:H1048576">
    <cfRule type="cellIs" dxfId="805" priority="3073" operator="lessThan">
      <formula>0</formula>
    </cfRule>
  </conditionalFormatting>
  <conditionalFormatting sqref="H10:H1048576">
    <cfRule type="cellIs" dxfId="804" priority="3072" operator="lessThan">
      <formula>0</formula>
    </cfRule>
  </conditionalFormatting>
  <conditionalFormatting sqref="H10:H1048576">
    <cfRule type="cellIs" dxfId="803" priority="3071" operator="lessThan">
      <formula>0</formula>
    </cfRule>
  </conditionalFormatting>
  <conditionalFormatting sqref="H10:H1048576">
    <cfRule type="cellIs" dxfId="802" priority="3070" operator="lessThan">
      <formula>0</formula>
    </cfRule>
  </conditionalFormatting>
  <conditionalFormatting sqref="H10:H1048576">
    <cfRule type="cellIs" dxfId="801" priority="3069" operator="lessThan">
      <formula>0</formula>
    </cfRule>
  </conditionalFormatting>
  <conditionalFormatting sqref="H10:H1048576">
    <cfRule type="cellIs" dxfId="800" priority="3068" operator="lessThan">
      <formula>0</formula>
    </cfRule>
  </conditionalFormatting>
  <conditionalFormatting sqref="H10:H1048576">
    <cfRule type="cellIs" dxfId="799" priority="3067" operator="lessThan">
      <formula>0</formula>
    </cfRule>
  </conditionalFormatting>
  <conditionalFormatting sqref="H10:H1048576">
    <cfRule type="cellIs" dxfId="798" priority="3066" operator="lessThan">
      <formula>0</formula>
    </cfRule>
  </conditionalFormatting>
  <conditionalFormatting sqref="H10:H1048576">
    <cfRule type="cellIs" dxfId="797" priority="3065" operator="lessThan">
      <formula>0</formula>
    </cfRule>
  </conditionalFormatting>
  <conditionalFormatting sqref="H10:H1048576">
    <cfRule type="cellIs" dxfId="796" priority="3064" operator="lessThan">
      <formula>0</formula>
    </cfRule>
  </conditionalFormatting>
  <conditionalFormatting sqref="H10:H1048576">
    <cfRule type="cellIs" dxfId="795" priority="3063" operator="lessThan">
      <formula>0</formula>
    </cfRule>
  </conditionalFormatting>
  <conditionalFormatting sqref="H10:H1048576">
    <cfRule type="cellIs" dxfId="794" priority="3062" operator="lessThan">
      <formula>0</formula>
    </cfRule>
  </conditionalFormatting>
  <conditionalFormatting sqref="H10:H1048576">
    <cfRule type="cellIs" dxfId="793" priority="3061" operator="lessThan">
      <formula>0</formula>
    </cfRule>
  </conditionalFormatting>
  <conditionalFormatting sqref="H10:H1048576">
    <cfRule type="cellIs" dxfId="792" priority="3060" operator="lessThan">
      <formula>0</formula>
    </cfRule>
  </conditionalFormatting>
  <conditionalFormatting sqref="H10:H1048576">
    <cfRule type="cellIs" dxfId="791" priority="3059" operator="lessThan">
      <formula>0</formula>
    </cfRule>
  </conditionalFormatting>
  <conditionalFormatting sqref="H10:H1048576">
    <cfRule type="cellIs" dxfId="790" priority="3058" operator="lessThan">
      <formula>0</formula>
    </cfRule>
  </conditionalFormatting>
  <conditionalFormatting sqref="H10:H1048576">
    <cfRule type="cellIs" dxfId="789" priority="3057" operator="lessThan">
      <formula>0</formula>
    </cfRule>
  </conditionalFormatting>
  <conditionalFormatting sqref="H10:H1048576">
    <cfRule type="cellIs" dxfId="788" priority="3056" operator="lessThan">
      <formula>0</formula>
    </cfRule>
  </conditionalFormatting>
  <conditionalFormatting sqref="H10:H1048576">
    <cfRule type="cellIs" dxfId="787" priority="3055" operator="lessThan">
      <formula>0</formula>
    </cfRule>
  </conditionalFormatting>
  <conditionalFormatting sqref="H10:H1048576">
    <cfRule type="cellIs" dxfId="786" priority="3054" operator="lessThan">
      <formula>0</formula>
    </cfRule>
  </conditionalFormatting>
  <conditionalFormatting sqref="H10:H1048576">
    <cfRule type="cellIs" dxfId="785" priority="3053" operator="lessThan">
      <formula>0</formula>
    </cfRule>
  </conditionalFormatting>
  <conditionalFormatting sqref="H10:H1048576">
    <cfRule type="cellIs" dxfId="784" priority="3052" operator="lessThan">
      <formula>0</formula>
    </cfRule>
  </conditionalFormatting>
  <conditionalFormatting sqref="H10:H1048576">
    <cfRule type="cellIs" dxfId="783" priority="3051" operator="lessThan">
      <formula>0</formula>
    </cfRule>
  </conditionalFormatting>
  <conditionalFormatting sqref="H10:H1048576">
    <cfRule type="cellIs" dxfId="782" priority="3050" operator="lessThan">
      <formula>0</formula>
    </cfRule>
  </conditionalFormatting>
  <conditionalFormatting sqref="H10:H1048576">
    <cfRule type="cellIs" dxfId="781" priority="3049" operator="lessThan">
      <formula>0</formula>
    </cfRule>
  </conditionalFormatting>
  <conditionalFormatting sqref="H10:H1048576">
    <cfRule type="cellIs" dxfId="780" priority="3048" operator="lessThan">
      <formula>0</formula>
    </cfRule>
  </conditionalFormatting>
  <conditionalFormatting sqref="H10:H1048576">
    <cfRule type="cellIs" dxfId="779" priority="3047" operator="lessThan">
      <formula>0</formula>
    </cfRule>
  </conditionalFormatting>
  <conditionalFormatting sqref="H10:H1048576">
    <cfRule type="cellIs" dxfId="778" priority="3046" operator="lessThan">
      <formula>0</formula>
    </cfRule>
  </conditionalFormatting>
  <conditionalFormatting sqref="H10:H1048576">
    <cfRule type="cellIs" dxfId="777" priority="3045" operator="lessThan">
      <formula>0</formula>
    </cfRule>
  </conditionalFormatting>
  <conditionalFormatting sqref="H10:H1048576">
    <cfRule type="cellIs" dxfId="776" priority="3044" operator="lessThan">
      <formula>0</formula>
    </cfRule>
  </conditionalFormatting>
  <conditionalFormatting sqref="H10:H1048576">
    <cfRule type="cellIs" dxfId="775" priority="3043" operator="lessThan">
      <formula>0</formula>
    </cfRule>
  </conditionalFormatting>
  <conditionalFormatting sqref="H10:H1048576">
    <cfRule type="cellIs" dxfId="774" priority="3042" operator="lessThan">
      <formula>0</formula>
    </cfRule>
  </conditionalFormatting>
  <conditionalFormatting sqref="H10:H1048576">
    <cfRule type="cellIs" dxfId="773" priority="3041" operator="lessThan">
      <formula>0</formula>
    </cfRule>
  </conditionalFormatting>
  <conditionalFormatting sqref="H10:H1048576">
    <cfRule type="cellIs" dxfId="772" priority="3040" operator="lessThan">
      <formula>0</formula>
    </cfRule>
  </conditionalFormatting>
  <conditionalFormatting sqref="H10:H1048576">
    <cfRule type="cellIs" dxfId="771" priority="3039" operator="lessThan">
      <formula>0</formula>
    </cfRule>
  </conditionalFormatting>
  <conditionalFormatting sqref="H10:H1048576">
    <cfRule type="cellIs" dxfId="770" priority="3038" operator="lessThan">
      <formula>0</formula>
    </cfRule>
  </conditionalFormatting>
  <conditionalFormatting sqref="H10:H1048576">
    <cfRule type="cellIs" dxfId="769" priority="3037" operator="lessThan">
      <formula>0</formula>
    </cfRule>
  </conditionalFormatting>
  <conditionalFormatting sqref="H10:H1048576">
    <cfRule type="cellIs" dxfId="768" priority="3036" operator="lessThan">
      <formula>0</formula>
    </cfRule>
  </conditionalFormatting>
  <conditionalFormatting sqref="H10:H1048576">
    <cfRule type="cellIs" dxfId="767" priority="3035" operator="lessThan">
      <formula>0</formula>
    </cfRule>
  </conditionalFormatting>
  <conditionalFormatting sqref="H10:H1048576">
    <cfRule type="cellIs" dxfId="766" priority="3034" operator="lessThan">
      <formula>0</formula>
    </cfRule>
  </conditionalFormatting>
  <conditionalFormatting sqref="H10:H1048576">
    <cfRule type="cellIs" dxfId="765" priority="3033" operator="lessThan">
      <formula>0</formula>
    </cfRule>
  </conditionalFormatting>
  <conditionalFormatting sqref="H10:H1048576">
    <cfRule type="cellIs" dxfId="764" priority="3032" operator="lessThan">
      <formula>0</formula>
    </cfRule>
  </conditionalFormatting>
  <conditionalFormatting sqref="H10:H1048576">
    <cfRule type="cellIs" dxfId="763" priority="3031" operator="lessThan">
      <formula>0</formula>
    </cfRule>
  </conditionalFormatting>
  <conditionalFormatting sqref="H10:H1048576">
    <cfRule type="cellIs" dxfId="762" priority="3030" operator="lessThan">
      <formula>0</formula>
    </cfRule>
  </conditionalFormatting>
  <conditionalFormatting sqref="H10:H1048576">
    <cfRule type="cellIs" dxfId="761" priority="3029" operator="lessThan">
      <formula>0</formula>
    </cfRule>
  </conditionalFormatting>
  <conditionalFormatting sqref="H10:H1048576">
    <cfRule type="cellIs" dxfId="760" priority="3028" operator="lessThan">
      <formula>0</formula>
    </cfRule>
  </conditionalFormatting>
  <conditionalFormatting sqref="H10:H1048576">
    <cfRule type="cellIs" dxfId="759" priority="3027" operator="lessThan">
      <formula>0</formula>
    </cfRule>
  </conditionalFormatting>
  <conditionalFormatting sqref="H10:H1048576">
    <cfRule type="cellIs" dxfId="758" priority="3026" operator="lessThan">
      <formula>0</formula>
    </cfRule>
  </conditionalFormatting>
  <conditionalFormatting sqref="H10:H1048576">
    <cfRule type="cellIs" dxfId="757" priority="3025" operator="lessThan">
      <formula>0</formula>
    </cfRule>
  </conditionalFormatting>
  <conditionalFormatting sqref="H10:H1048576">
    <cfRule type="cellIs" dxfId="756" priority="3024" operator="lessThan">
      <formula>0</formula>
    </cfRule>
  </conditionalFormatting>
  <conditionalFormatting sqref="H10:H1048576">
    <cfRule type="cellIs" dxfId="755" priority="3023" operator="lessThan">
      <formula>0</formula>
    </cfRule>
  </conditionalFormatting>
  <conditionalFormatting sqref="H10:H1048576">
    <cfRule type="cellIs" dxfId="754" priority="3022" operator="lessThan">
      <formula>0</formula>
    </cfRule>
  </conditionalFormatting>
  <conditionalFormatting sqref="H10:H1048576">
    <cfRule type="cellIs" dxfId="753" priority="3021" operator="lessThan">
      <formula>0</formula>
    </cfRule>
  </conditionalFormatting>
  <conditionalFormatting sqref="H10:H1048576">
    <cfRule type="cellIs" dxfId="752" priority="3020" operator="lessThan">
      <formula>0</formula>
    </cfRule>
  </conditionalFormatting>
  <conditionalFormatting sqref="H10:H1048576">
    <cfRule type="cellIs" dxfId="751" priority="3019" operator="lessThan">
      <formula>0</formula>
    </cfRule>
  </conditionalFormatting>
  <conditionalFormatting sqref="H10:H1048576">
    <cfRule type="cellIs" dxfId="750" priority="3018" operator="lessThan">
      <formula>0</formula>
    </cfRule>
  </conditionalFormatting>
  <conditionalFormatting sqref="H10:H1048576">
    <cfRule type="cellIs" dxfId="749" priority="3017" operator="lessThan">
      <formula>0</formula>
    </cfRule>
  </conditionalFormatting>
  <conditionalFormatting sqref="H10:H1048576">
    <cfRule type="cellIs" dxfId="748" priority="3016" operator="lessThan">
      <formula>0</formula>
    </cfRule>
  </conditionalFormatting>
  <conditionalFormatting sqref="H10:H1048576">
    <cfRule type="cellIs" dxfId="747" priority="3015" operator="lessThan">
      <formula>0</formula>
    </cfRule>
  </conditionalFormatting>
  <conditionalFormatting sqref="H10:H1048576">
    <cfRule type="cellIs" dxfId="746" priority="3014" operator="lessThan">
      <formula>0</formula>
    </cfRule>
  </conditionalFormatting>
  <conditionalFormatting sqref="H10:H1048576">
    <cfRule type="cellIs" dxfId="745" priority="3013" operator="lessThan">
      <formula>0</formula>
    </cfRule>
  </conditionalFormatting>
  <conditionalFormatting sqref="H10:H1048576">
    <cfRule type="cellIs" dxfId="744" priority="3012" operator="lessThan">
      <formula>0</formula>
    </cfRule>
  </conditionalFormatting>
  <conditionalFormatting sqref="H10:H1048576">
    <cfRule type="cellIs" dxfId="743" priority="3011" operator="lessThan">
      <formula>0</formula>
    </cfRule>
  </conditionalFormatting>
  <conditionalFormatting sqref="H10:H1048576">
    <cfRule type="cellIs" dxfId="742" priority="3010" operator="lessThan">
      <formula>0</formula>
    </cfRule>
  </conditionalFormatting>
  <conditionalFormatting sqref="H10:H1048576">
    <cfRule type="cellIs" dxfId="741" priority="3009" operator="lessThan">
      <formula>0</formula>
    </cfRule>
  </conditionalFormatting>
  <conditionalFormatting sqref="H10:H1048576">
    <cfRule type="cellIs" dxfId="740" priority="3008" operator="lessThan">
      <formula>0</formula>
    </cfRule>
  </conditionalFormatting>
  <conditionalFormatting sqref="H10:H1048576">
    <cfRule type="cellIs" dxfId="739" priority="3007" operator="lessThan">
      <formula>0</formula>
    </cfRule>
  </conditionalFormatting>
  <conditionalFormatting sqref="H10:H1048576">
    <cfRule type="cellIs" dxfId="738" priority="3006" operator="lessThan">
      <formula>0</formula>
    </cfRule>
  </conditionalFormatting>
  <conditionalFormatting sqref="H10:H1048576">
    <cfRule type="cellIs" dxfId="737" priority="3005" operator="lessThan">
      <formula>0</formula>
    </cfRule>
  </conditionalFormatting>
  <conditionalFormatting sqref="H10:H1048576">
    <cfRule type="cellIs" dxfId="736" priority="3004" operator="lessThan">
      <formula>0</formula>
    </cfRule>
  </conditionalFormatting>
  <conditionalFormatting sqref="H10:H1048576">
    <cfRule type="cellIs" dxfId="735" priority="3003" operator="lessThan">
      <formula>0</formula>
    </cfRule>
  </conditionalFormatting>
  <conditionalFormatting sqref="H10:H1048576">
    <cfRule type="cellIs" dxfId="734" priority="3002" operator="lessThan">
      <formula>0</formula>
    </cfRule>
  </conditionalFormatting>
  <conditionalFormatting sqref="H10:H1048576">
    <cfRule type="cellIs" dxfId="733" priority="3001" operator="lessThan">
      <formula>0</formula>
    </cfRule>
  </conditionalFormatting>
  <conditionalFormatting sqref="H10:H1048576">
    <cfRule type="cellIs" dxfId="732" priority="3000" operator="lessThan">
      <formula>0</formula>
    </cfRule>
  </conditionalFormatting>
  <conditionalFormatting sqref="H10:H1048576">
    <cfRule type="cellIs" dxfId="731" priority="2999" operator="lessThan">
      <formula>0</formula>
    </cfRule>
  </conditionalFormatting>
  <conditionalFormatting sqref="H10:H1048576">
    <cfRule type="cellIs" dxfId="730" priority="2998" operator="lessThan">
      <formula>0</formula>
    </cfRule>
  </conditionalFormatting>
  <conditionalFormatting sqref="H10:H1048576">
    <cfRule type="cellIs" dxfId="729" priority="2997" operator="lessThan">
      <formula>0</formula>
    </cfRule>
  </conditionalFormatting>
  <conditionalFormatting sqref="H10:H1048576">
    <cfRule type="cellIs" dxfId="728" priority="2996" operator="lessThan">
      <formula>0</formula>
    </cfRule>
  </conditionalFormatting>
  <conditionalFormatting sqref="H10:H1048576">
    <cfRule type="cellIs" dxfId="727" priority="2995" operator="lessThan">
      <formula>0</formula>
    </cfRule>
  </conditionalFormatting>
  <conditionalFormatting sqref="H10:H1048576">
    <cfRule type="cellIs" dxfId="726" priority="2994" operator="lessThan">
      <formula>0</formula>
    </cfRule>
  </conditionalFormatting>
  <conditionalFormatting sqref="H10:H1048576">
    <cfRule type="cellIs" dxfId="725" priority="2993" operator="lessThan">
      <formula>0</formula>
    </cfRule>
  </conditionalFormatting>
  <conditionalFormatting sqref="H10:H1048576">
    <cfRule type="cellIs" dxfId="724" priority="2992" operator="lessThan">
      <formula>0</formula>
    </cfRule>
  </conditionalFormatting>
  <conditionalFormatting sqref="H10:H1048576">
    <cfRule type="cellIs" dxfId="723" priority="2991" operator="lessThan">
      <formula>0</formula>
    </cfRule>
  </conditionalFormatting>
  <conditionalFormatting sqref="H10:H1048576">
    <cfRule type="cellIs" dxfId="722" priority="2990" operator="lessThan">
      <formula>0</formula>
    </cfRule>
  </conditionalFormatting>
  <conditionalFormatting sqref="H10:H1048576">
    <cfRule type="cellIs" dxfId="721" priority="2989" operator="lessThan">
      <formula>0</formula>
    </cfRule>
  </conditionalFormatting>
  <conditionalFormatting sqref="H10:H1048576">
    <cfRule type="cellIs" dxfId="720" priority="2988" operator="lessThan">
      <formula>0</formula>
    </cfRule>
  </conditionalFormatting>
  <conditionalFormatting sqref="H10:H1048576">
    <cfRule type="cellIs" dxfId="719" priority="2987" operator="lessThan">
      <formula>0</formula>
    </cfRule>
  </conditionalFormatting>
  <conditionalFormatting sqref="H10:H1048576">
    <cfRule type="cellIs" dxfId="718" priority="2986" operator="lessThan">
      <formula>0</formula>
    </cfRule>
  </conditionalFormatting>
  <conditionalFormatting sqref="H10:H1048576">
    <cfRule type="cellIs" dxfId="717" priority="2985" operator="lessThan">
      <formula>0</formula>
    </cfRule>
  </conditionalFormatting>
  <conditionalFormatting sqref="H10:H1048576">
    <cfRule type="cellIs" dxfId="716" priority="2984" operator="lessThan">
      <formula>0</formula>
    </cfRule>
  </conditionalFormatting>
  <conditionalFormatting sqref="H10:H1048576">
    <cfRule type="cellIs" dxfId="715" priority="2983" operator="lessThan">
      <formula>0</formula>
    </cfRule>
  </conditionalFormatting>
  <conditionalFormatting sqref="H10:H1048576">
    <cfRule type="cellIs" dxfId="714" priority="2982" operator="lessThan">
      <formula>0</formula>
    </cfRule>
  </conditionalFormatting>
  <conditionalFormatting sqref="H10:H1048576">
    <cfRule type="cellIs" dxfId="713" priority="2981" operator="lessThan">
      <formula>0</formula>
    </cfRule>
  </conditionalFormatting>
  <conditionalFormatting sqref="H10:H1048576">
    <cfRule type="cellIs" dxfId="712" priority="2980" operator="lessThan">
      <formula>0</formula>
    </cfRule>
  </conditionalFormatting>
  <conditionalFormatting sqref="H10:H1048576">
    <cfRule type="cellIs" dxfId="711" priority="2979" operator="lessThan">
      <formula>0</formula>
    </cfRule>
  </conditionalFormatting>
  <conditionalFormatting sqref="H10:H1048576">
    <cfRule type="cellIs" dxfId="710" priority="2978" operator="lessThan">
      <formula>0</formula>
    </cfRule>
  </conditionalFormatting>
  <conditionalFormatting sqref="H10:H1048576">
    <cfRule type="cellIs" dxfId="709" priority="2977" operator="lessThan">
      <formula>0</formula>
    </cfRule>
  </conditionalFormatting>
  <conditionalFormatting sqref="H10:H1048576">
    <cfRule type="cellIs" dxfId="708" priority="2976" operator="lessThan">
      <formula>0</formula>
    </cfRule>
  </conditionalFormatting>
  <conditionalFormatting sqref="H10:H1048576">
    <cfRule type="cellIs" dxfId="707" priority="2975" operator="lessThan">
      <formula>0</formula>
    </cfRule>
  </conditionalFormatting>
  <conditionalFormatting sqref="H10:H1048576">
    <cfRule type="cellIs" dxfId="706" priority="2974" operator="lessThan">
      <formula>0</formula>
    </cfRule>
  </conditionalFormatting>
  <conditionalFormatting sqref="H10:H1048576">
    <cfRule type="cellIs" dxfId="705" priority="2973" operator="lessThan">
      <formula>0</formula>
    </cfRule>
  </conditionalFormatting>
  <conditionalFormatting sqref="H10:H1048576">
    <cfRule type="cellIs" dxfId="704" priority="2972" operator="lessThan">
      <formula>0</formula>
    </cfRule>
  </conditionalFormatting>
  <conditionalFormatting sqref="H10:H1048576">
    <cfRule type="cellIs" dxfId="703" priority="2971" operator="lessThan">
      <formula>0</formula>
    </cfRule>
  </conditionalFormatting>
  <conditionalFormatting sqref="H10:H1048576">
    <cfRule type="cellIs" dxfId="702" priority="2970" operator="lessThan">
      <formula>0</formula>
    </cfRule>
  </conditionalFormatting>
  <conditionalFormatting sqref="H10:H1048576">
    <cfRule type="cellIs" dxfId="701" priority="2969" operator="lessThan">
      <formula>0</formula>
    </cfRule>
  </conditionalFormatting>
  <conditionalFormatting sqref="H10:H1048576">
    <cfRule type="cellIs" dxfId="700" priority="2968" operator="lessThan">
      <formula>0</formula>
    </cfRule>
  </conditionalFormatting>
  <conditionalFormatting sqref="H10:H1048576">
    <cfRule type="cellIs" dxfId="699" priority="2967" operator="lessThan">
      <formula>0</formula>
    </cfRule>
  </conditionalFormatting>
  <conditionalFormatting sqref="H10:H1048576">
    <cfRule type="cellIs" dxfId="698" priority="2966" operator="lessThan">
      <formula>0</formula>
    </cfRule>
  </conditionalFormatting>
  <conditionalFormatting sqref="H10:H1048576">
    <cfRule type="cellIs" dxfId="697" priority="2965" operator="lessThan">
      <formula>0</formula>
    </cfRule>
  </conditionalFormatting>
  <conditionalFormatting sqref="H10:H1048576">
    <cfRule type="cellIs" dxfId="696" priority="2964" operator="lessThan">
      <formula>0</formula>
    </cfRule>
  </conditionalFormatting>
  <conditionalFormatting sqref="H10:H1048576">
    <cfRule type="cellIs" dxfId="695" priority="2963" operator="lessThan">
      <formula>0</formula>
    </cfRule>
  </conditionalFormatting>
  <conditionalFormatting sqref="H10:H1048576">
    <cfRule type="cellIs" dxfId="694" priority="2962" operator="lessThan">
      <formula>0</formula>
    </cfRule>
  </conditionalFormatting>
  <conditionalFormatting sqref="H10:H1048576">
    <cfRule type="cellIs" dxfId="693" priority="2961" operator="lessThan">
      <formula>0</formula>
    </cfRule>
  </conditionalFormatting>
  <conditionalFormatting sqref="H10:H1048576">
    <cfRule type="cellIs" dxfId="692" priority="2960" operator="lessThan">
      <formula>0</formula>
    </cfRule>
  </conditionalFormatting>
  <conditionalFormatting sqref="H10:H1048576">
    <cfRule type="cellIs" dxfId="691" priority="2959" operator="lessThan">
      <formula>0</formula>
    </cfRule>
  </conditionalFormatting>
  <conditionalFormatting sqref="H10:H1048576">
    <cfRule type="cellIs" dxfId="690" priority="2958" operator="lessThan">
      <formula>0</formula>
    </cfRule>
  </conditionalFormatting>
  <conditionalFormatting sqref="H10:H1048576">
    <cfRule type="cellIs" dxfId="689" priority="2957" operator="lessThan">
      <formula>0</formula>
    </cfRule>
  </conditionalFormatting>
  <conditionalFormatting sqref="H10:H1048576">
    <cfRule type="cellIs" dxfId="688" priority="2956" operator="lessThan">
      <formula>0</formula>
    </cfRule>
  </conditionalFormatting>
  <conditionalFormatting sqref="H10:H1048576">
    <cfRule type="cellIs" dxfId="687" priority="2955" operator="lessThan">
      <formula>0</formula>
    </cfRule>
  </conditionalFormatting>
  <conditionalFormatting sqref="H10:H1048576">
    <cfRule type="cellIs" dxfId="686" priority="2954" operator="lessThan">
      <formula>0</formula>
    </cfRule>
  </conditionalFormatting>
  <conditionalFormatting sqref="H10:H1048576">
    <cfRule type="cellIs" dxfId="685" priority="2953" operator="lessThan">
      <formula>0</formula>
    </cfRule>
  </conditionalFormatting>
  <conditionalFormatting sqref="H10:H1048576">
    <cfRule type="cellIs" dxfId="684" priority="2952" operator="lessThan">
      <formula>0</formula>
    </cfRule>
  </conditionalFormatting>
  <conditionalFormatting sqref="H10:H1048576">
    <cfRule type="cellIs" dxfId="683" priority="2951" operator="lessThan">
      <formula>0</formula>
    </cfRule>
  </conditionalFormatting>
  <conditionalFormatting sqref="H10:H1048576">
    <cfRule type="cellIs" dxfId="682" priority="2950" operator="lessThan">
      <formula>0</formula>
    </cfRule>
  </conditionalFormatting>
  <conditionalFormatting sqref="H10:H1048576">
    <cfRule type="cellIs" dxfId="681" priority="2949" operator="lessThan">
      <formula>0</formula>
    </cfRule>
  </conditionalFormatting>
  <conditionalFormatting sqref="H10:H1048576">
    <cfRule type="cellIs" dxfId="680" priority="2948" operator="lessThan">
      <formula>0</formula>
    </cfRule>
  </conditionalFormatting>
  <conditionalFormatting sqref="H10:H1048576">
    <cfRule type="cellIs" dxfId="679" priority="2947" operator="lessThan">
      <formula>0</formula>
    </cfRule>
  </conditionalFormatting>
  <conditionalFormatting sqref="H10:H1048576">
    <cfRule type="cellIs" dxfId="678" priority="2946" operator="lessThan">
      <formula>0</formula>
    </cfRule>
  </conditionalFormatting>
  <conditionalFormatting sqref="H10:H1048576">
    <cfRule type="cellIs" dxfId="677" priority="2945" operator="lessThan">
      <formula>0</formula>
    </cfRule>
  </conditionalFormatting>
  <conditionalFormatting sqref="H10:H1048576">
    <cfRule type="cellIs" dxfId="676" priority="2944" operator="lessThan">
      <formula>0</formula>
    </cfRule>
  </conditionalFormatting>
  <conditionalFormatting sqref="H10:H1048576">
    <cfRule type="cellIs" dxfId="675" priority="2943" operator="lessThan">
      <formula>0</formula>
    </cfRule>
  </conditionalFormatting>
  <conditionalFormatting sqref="H10:H1048576">
    <cfRule type="cellIs" dxfId="674" priority="2942" operator="lessThan">
      <formula>0</formula>
    </cfRule>
  </conditionalFormatting>
  <conditionalFormatting sqref="H10:H1048576">
    <cfRule type="cellIs" dxfId="673" priority="2941" operator="lessThan">
      <formula>0</formula>
    </cfRule>
  </conditionalFormatting>
  <conditionalFormatting sqref="H10:H1048576">
    <cfRule type="cellIs" dxfId="672" priority="2940" operator="lessThan">
      <formula>0</formula>
    </cfRule>
  </conditionalFormatting>
  <conditionalFormatting sqref="H10:H1048576">
    <cfRule type="cellIs" dxfId="671" priority="2939" operator="lessThan">
      <formula>0</formula>
    </cfRule>
  </conditionalFormatting>
  <conditionalFormatting sqref="H10:H1048576">
    <cfRule type="cellIs" dxfId="670" priority="2938" operator="lessThan">
      <formula>0</formula>
    </cfRule>
  </conditionalFormatting>
  <conditionalFormatting sqref="H10:H1048576">
    <cfRule type="cellIs" dxfId="669" priority="2937" operator="lessThan">
      <formula>0</formula>
    </cfRule>
  </conditionalFormatting>
  <conditionalFormatting sqref="H10:H1048576">
    <cfRule type="cellIs" dxfId="668" priority="2936" operator="lessThan">
      <formula>0</formula>
    </cfRule>
  </conditionalFormatting>
  <conditionalFormatting sqref="H10:H1048576">
    <cfRule type="cellIs" dxfId="667" priority="2935" operator="lessThan">
      <formula>0</formula>
    </cfRule>
  </conditionalFormatting>
  <conditionalFormatting sqref="H10:H1048576">
    <cfRule type="cellIs" dxfId="666" priority="2934" operator="lessThan">
      <formula>0</formula>
    </cfRule>
  </conditionalFormatting>
  <conditionalFormatting sqref="H10:H1048576">
    <cfRule type="cellIs" dxfId="665" priority="2933" operator="lessThan">
      <formula>0</formula>
    </cfRule>
  </conditionalFormatting>
  <conditionalFormatting sqref="H10:H1048576">
    <cfRule type="cellIs" dxfId="664" priority="2932" operator="lessThan">
      <formula>0</formula>
    </cfRule>
  </conditionalFormatting>
  <conditionalFormatting sqref="H10:H1048576">
    <cfRule type="cellIs" dxfId="663" priority="2931" operator="lessThan">
      <formula>0</formula>
    </cfRule>
  </conditionalFormatting>
  <conditionalFormatting sqref="H10:H1048576">
    <cfRule type="cellIs" dxfId="662" priority="2930" operator="lessThan">
      <formula>0</formula>
    </cfRule>
  </conditionalFormatting>
  <conditionalFormatting sqref="H10:H1048576">
    <cfRule type="cellIs" dxfId="661" priority="2929" operator="lessThan">
      <formula>0</formula>
    </cfRule>
  </conditionalFormatting>
  <conditionalFormatting sqref="H10:H1048576">
    <cfRule type="cellIs" dxfId="660" priority="2928" operator="lessThan">
      <formula>0</formula>
    </cfRule>
  </conditionalFormatting>
  <conditionalFormatting sqref="H10:H1048576">
    <cfRule type="cellIs" dxfId="659" priority="2927" operator="lessThan">
      <formula>0</formula>
    </cfRule>
  </conditionalFormatting>
  <conditionalFormatting sqref="H10:H1048576">
    <cfRule type="cellIs" dxfId="658" priority="2926" operator="lessThan">
      <formula>0</formula>
    </cfRule>
  </conditionalFormatting>
  <conditionalFormatting sqref="H10:H1048576">
    <cfRule type="cellIs" dxfId="657" priority="2925" operator="lessThan">
      <formula>0</formula>
    </cfRule>
  </conditionalFormatting>
  <conditionalFormatting sqref="H10:H1048576">
    <cfRule type="cellIs" dxfId="656" priority="2924" operator="lessThan">
      <formula>0</formula>
    </cfRule>
  </conditionalFormatting>
  <conditionalFormatting sqref="H10:H1048576">
    <cfRule type="cellIs" dxfId="655" priority="2923" operator="lessThan">
      <formula>0</formula>
    </cfRule>
  </conditionalFormatting>
  <conditionalFormatting sqref="H10:H1048576">
    <cfRule type="cellIs" dxfId="654" priority="2922" operator="lessThan">
      <formula>0</formula>
    </cfRule>
  </conditionalFormatting>
  <conditionalFormatting sqref="H10:H1048576">
    <cfRule type="cellIs" dxfId="653" priority="2921" operator="lessThan">
      <formula>0</formula>
    </cfRule>
  </conditionalFormatting>
  <conditionalFormatting sqref="H10:H1048576">
    <cfRule type="cellIs" dxfId="652" priority="2920" operator="lessThan">
      <formula>0</formula>
    </cfRule>
  </conditionalFormatting>
  <conditionalFormatting sqref="H10:H1048576">
    <cfRule type="cellIs" dxfId="651" priority="2919" operator="lessThan">
      <formula>0</formula>
    </cfRule>
  </conditionalFormatting>
  <conditionalFormatting sqref="H10:H1048576">
    <cfRule type="cellIs" dxfId="650" priority="2918" operator="lessThan">
      <formula>0</formula>
    </cfRule>
  </conditionalFormatting>
  <conditionalFormatting sqref="H10:H1048576">
    <cfRule type="cellIs" dxfId="649" priority="2917" operator="lessThan">
      <formula>0</formula>
    </cfRule>
  </conditionalFormatting>
  <conditionalFormatting sqref="H10:H1048576">
    <cfRule type="cellIs" dxfId="648" priority="2916" operator="lessThan">
      <formula>0</formula>
    </cfRule>
  </conditionalFormatting>
  <conditionalFormatting sqref="H10:H1048576">
    <cfRule type="cellIs" dxfId="647" priority="2915" operator="lessThan">
      <formula>0</formula>
    </cfRule>
  </conditionalFormatting>
  <conditionalFormatting sqref="H10:H1048576">
    <cfRule type="cellIs" dxfId="646" priority="2914" operator="lessThan">
      <formula>0</formula>
    </cfRule>
  </conditionalFormatting>
  <conditionalFormatting sqref="H10:H1048576">
    <cfRule type="cellIs" dxfId="645" priority="2913" operator="lessThan">
      <formula>0</formula>
    </cfRule>
  </conditionalFormatting>
  <conditionalFormatting sqref="H10:H1048576">
    <cfRule type="cellIs" dxfId="644" priority="2912" operator="lessThan">
      <formula>0</formula>
    </cfRule>
  </conditionalFormatting>
  <conditionalFormatting sqref="H10:H1048576">
    <cfRule type="cellIs" dxfId="643" priority="2911" operator="lessThan">
      <formula>0</formula>
    </cfRule>
  </conditionalFormatting>
  <conditionalFormatting sqref="H10:H1048576">
    <cfRule type="cellIs" dxfId="642" priority="2910" operator="lessThan">
      <formula>0</formula>
    </cfRule>
  </conditionalFormatting>
  <conditionalFormatting sqref="H10:H1048576">
    <cfRule type="cellIs" dxfId="641" priority="2909" operator="lessThan">
      <formula>0</formula>
    </cfRule>
  </conditionalFormatting>
  <conditionalFormatting sqref="H10:H1048576">
    <cfRule type="cellIs" dxfId="640" priority="2908" operator="lessThan">
      <formula>0</formula>
    </cfRule>
  </conditionalFormatting>
  <conditionalFormatting sqref="H10:H1048576">
    <cfRule type="cellIs" dxfId="639" priority="2907" operator="lessThan">
      <formula>0</formula>
    </cfRule>
  </conditionalFormatting>
  <conditionalFormatting sqref="H10:H1048576">
    <cfRule type="cellIs" dxfId="638" priority="2906" operator="lessThan">
      <formula>0</formula>
    </cfRule>
  </conditionalFormatting>
  <conditionalFormatting sqref="H10:H1048576">
    <cfRule type="cellIs" dxfId="637" priority="2905" operator="lessThan">
      <formula>0</formula>
    </cfRule>
  </conditionalFormatting>
  <conditionalFormatting sqref="H10:H1048576">
    <cfRule type="cellIs" dxfId="636" priority="2904" operator="lessThan">
      <formula>0</formula>
    </cfRule>
  </conditionalFormatting>
  <conditionalFormatting sqref="H10:H1048576">
    <cfRule type="cellIs" dxfId="635" priority="2903" operator="lessThan">
      <formula>0</formula>
    </cfRule>
  </conditionalFormatting>
  <conditionalFormatting sqref="H10:H1048576">
    <cfRule type="cellIs" dxfId="634" priority="2902" operator="lessThan">
      <formula>0</formula>
    </cfRule>
  </conditionalFormatting>
  <conditionalFormatting sqref="H10:H1048576">
    <cfRule type="cellIs" dxfId="633" priority="2901" operator="lessThan">
      <formula>0</formula>
    </cfRule>
  </conditionalFormatting>
  <conditionalFormatting sqref="H10:H1048576">
    <cfRule type="cellIs" dxfId="632" priority="2900" operator="lessThan">
      <formula>0</formula>
    </cfRule>
  </conditionalFormatting>
  <conditionalFormatting sqref="H10:H1048576">
    <cfRule type="cellIs" dxfId="631" priority="2899" operator="lessThan">
      <formula>0</formula>
    </cfRule>
  </conditionalFormatting>
  <conditionalFormatting sqref="H10:H1048576">
    <cfRule type="cellIs" dxfId="630" priority="2898" operator="lessThan">
      <formula>0</formula>
    </cfRule>
  </conditionalFormatting>
  <conditionalFormatting sqref="H10:H1048576">
    <cfRule type="cellIs" dxfId="629" priority="2897" operator="lessThan">
      <formula>0</formula>
    </cfRule>
  </conditionalFormatting>
  <conditionalFormatting sqref="H10:H1048576">
    <cfRule type="cellIs" dxfId="628" priority="2896" operator="lessThan">
      <formula>0</formula>
    </cfRule>
  </conditionalFormatting>
  <conditionalFormatting sqref="H10:H1048576">
    <cfRule type="cellIs" dxfId="627" priority="2895" operator="lessThan">
      <formula>0</formula>
    </cfRule>
  </conditionalFormatting>
  <conditionalFormatting sqref="H10:H1048576">
    <cfRule type="cellIs" dxfId="626" priority="2894" operator="lessThan">
      <formula>0</formula>
    </cfRule>
  </conditionalFormatting>
  <conditionalFormatting sqref="H10:H1048576">
    <cfRule type="cellIs" dxfId="625" priority="2893" operator="lessThan">
      <formula>0</formula>
    </cfRule>
  </conditionalFormatting>
  <conditionalFormatting sqref="H10:H1048576">
    <cfRule type="cellIs" dxfId="624" priority="2892" operator="lessThan">
      <formula>0</formula>
    </cfRule>
  </conditionalFormatting>
  <conditionalFormatting sqref="H10:H1048576">
    <cfRule type="cellIs" dxfId="623" priority="2891" operator="lessThan">
      <formula>0</formula>
    </cfRule>
  </conditionalFormatting>
  <conditionalFormatting sqref="H10:H1048576">
    <cfRule type="cellIs" dxfId="622" priority="2890" operator="lessThan">
      <formula>0</formula>
    </cfRule>
  </conditionalFormatting>
  <conditionalFormatting sqref="H10:H1048576">
    <cfRule type="cellIs" dxfId="621" priority="2889" operator="lessThan">
      <formula>0</formula>
    </cfRule>
  </conditionalFormatting>
  <conditionalFormatting sqref="H10:H1048576">
    <cfRule type="cellIs" dxfId="620" priority="2888" operator="lessThan">
      <formula>0</formula>
    </cfRule>
  </conditionalFormatting>
  <conditionalFormatting sqref="H10:H1048576">
    <cfRule type="cellIs" dxfId="619" priority="2887" operator="lessThan">
      <formula>0</formula>
    </cfRule>
  </conditionalFormatting>
  <conditionalFormatting sqref="H10:H1048576">
    <cfRule type="cellIs" dxfId="618" priority="2886" operator="lessThan">
      <formula>0</formula>
    </cfRule>
  </conditionalFormatting>
  <conditionalFormatting sqref="H10:H1048576">
    <cfRule type="cellIs" dxfId="617" priority="2885" operator="lessThan">
      <formula>0</formula>
    </cfRule>
  </conditionalFormatting>
  <conditionalFormatting sqref="H10:H1048576">
    <cfRule type="cellIs" dxfId="616" priority="2884" operator="lessThan">
      <formula>0</formula>
    </cfRule>
  </conditionalFormatting>
  <conditionalFormatting sqref="H10:H1048576">
    <cfRule type="cellIs" dxfId="615" priority="2883" operator="lessThan">
      <formula>0</formula>
    </cfRule>
  </conditionalFormatting>
  <conditionalFormatting sqref="H10:H1048576">
    <cfRule type="cellIs" dxfId="614" priority="2882" operator="lessThan">
      <formula>0</formula>
    </cfRule>
  </conditionalFormatting>
  <conditionalFormatting sqref="H10:H1048576">
    <cfRule type="cellIs" dxfId="613" priority="2881" operator="lessThan">
      <formula>0</formula>
    </cfRule>
  </conditionalFormatting>
  <conditionalFormatting sqref="H10:H1048576">
    <cfRule type="cellIs" dxfId="612" priority="2880" operator="lessThan">
      <formula>0</formula>
    </cfRule>
  </conditionalFormatting>
  <conditionalFormatting sqref="H10:H1048576">
    <cfRule type="cellIs" dxfId="611" priority="2879" operator="lessThan">
      <formula>0</formula>
    </cfRule>
  </conditionalFormatting>
  <conditionalFormatting sqref="H10:H1048576">
    <cfRule type="cellIs" dxfId="610" priority="2878" operator="lessThan">
      <formula>0</formula>
    </cfRule>
  </conditionalFormatting>
  <conditionalFormatting sqref="H10:H1048576">
    <cfRule type="cellIs" dxfId="609" priority="2877" operator="lessThan">
      <formula>0</formula>
    </cfRule>
  </conditionalFormatting>
  <conditionalFormatting sqref="H10:H1048576">
    <cfRule type="cellIs" dxfId="608" priority="2876" operator="lessThan">
      <formula>0</formula>
    </cfRule>
  </conditionalFormatting>
  <conditionalFormatting sqref="H10:H1048576">
    <cfRule type="cellIs" dxfId="607" priority="2875" operator="lessThan">
      <formula>0</formula>
    </cfRule>
  </conditionalFormatting>
  <conditionalFormatting sqref="H10:H1048576">
    <cfRule type="cellIs" dxfId="606" priority="2874" operator="lessThan">
      <formula>0</formula>
    </cfRule>
  </conditionalFormatting>
  <conditionalFormatting sqref="H10:H1048576">
    <cfRule type="cellIs" dxfId="605" priority="2873" operator="lessThan">
      <formula>0</formula>
    </cfRule>
  </conditionalFormatting>
  <conditionalFormatting sqref="H10:H1048576">
    <cfRule type="cellIs" dxfId="604" priority="2872" operator="lessThan">
      <formula>0</formula>
    </cfRule>
  </conditionalFormatting>
  <conditionalFormatting sqref="H10:H1048576">
    <cfRule type="cellIs" dxfId="603" priority="2871" operator="lessThan">
      <formula>0</formula>
    </cfRule>
  </conditionalFormatting>
  <conditionalFormatting sqref="H10:H1048576">
    <cfRule type="cellIs" dxfId="602" priority="2870" operator="lessThan">
      <formula>0</formula>
    </cfRule>
  </conditionalFormatting>
  <conditionalFormatting sqref="H10:H1048576">
    <cfRule type="cellIs" dxfId="601" priority="2869" operator="lessThan">
      <formula>0</formula>
    </cfRule>
  </conditionalFormatting>
  <conditionalFormatting sqref="H10:H1048576">
    <cfRule type="cellIs" dxfId="600" priority="2868" operator="lessThan">
      <formula>0</formula>
    </cfRule>
  </conditionalFormatting>
  <conditionalFormatting sqref="H10:H1048576">
    <cfRule type="cellIs" dxfId="599" priority="2867" operator="lessThan">
      <formula>0</formula>
    </cfRule>
  </conditionalFormatting>
  <conditionalFormatting sqref="H10:H1048576">
    <cfRule type="cellIs" dxfId="598" priority="2866" operator="lessThan">
      <formula>0</formula>
    </cfRule>
  </conditionalFormatting>
  <conditionalFormatting sqref="H10:H1048576">
    <cfRule type="cellIs" dxfId="597" priority="2865" operator="lessThan">
      <formula>0</formula>
    </cfRule>
  </conditionalFormatting>
  <conditionalFormatting sqref="H10:H1048576">
    <cfRule type="cellIs" dxfId="596" priority="2864" operator="lessThan">
      <formula>0</formula>
    </cfRule>
  </conditionalFormatting>
  <conditionalFormatting sqref="H10:H1048576">
    <cfRule type="cellIs" dxfId="595" priority="2863" operator="lessThan">
      <formula>0</formula>
    </cfRule>
  </conditionalFormatting>
  <conditionalFormatting sqref="H10:H1048576">
    <cfRule type="cellIs" dxfId="594" priority="2862" operator="lessThan">
      <formula>0</formula>
    </cfRule>
  </conditionalFormatting>
  <conditionalFormatting sqref="H10:H1048576">
    <cfRule type="cellIs" dxfId="593" priority="2861" operator="lessThan">
      <formula>0</formula>
    </cfRule>
  </conditionalFormatting>
  <conditionalFormatting sqref="H10:H1048576">
    <cfRule type="cellIs" dxfId="592" priority="2860" operator="lessThan">
      <formula>0</formula>
    </cfRule>
  </conditionalFormatting>
  <conditionalFormatting sqref="H10:H1048576">
    <cfRule type="cellIs" dxfId="591" priority="2859" operator="lessThan">
      <formula>0</formula>
    </cfRule>
  </conditionalFormatting>
  <conditionalFormatting sqref="H10:H1048576">
    <cfRule type="cellIs" dxfId="590" priority="2858" operator="lessThan">
      <formula>0</formula>
    </cfRule>
  </conditionalFormatting>
  <conditionalFormatting sqref="H10:H1048576">
    <cfRule type="cellIs" dxfId="589" priority="2857" operator="lessThan">
      <formula>0</formula>
    </cfRule>
  </conditionalFormatting>
  <conditionalFormatting sqref="H10:H1048576">
    <cfRule type="cellIs" dxfId="588" priority="2856" operator="lessThan">
      <formula>0</formula>
    </cfRule>
  </conditionalFormatting>
  <conditionalFormatting sqref="H10:H1048576">
    <cfRule type="cellIs" dxfId="587" priority="2855" operator="lessThan">
      <formula>0</formula>
    </cfRule>
  </conditionalFormatting>
  <conditionalFormatting sqref="H10:H1048576">
    <cfRule type="cellIs" dxfId="586" priority="2854" operator="lessThan">
      <formula>0</formula>
    </cfRule>
  </conditionalFormatting>
  <conditionalFormatting sqref="H10:H1048576">
    <cfRule type="cellIs" dxfId="585" priority="2853" operator="lessThan">
      <formula>0</formula>
    </cfRule>
  </conditionalFormatting>
  <conditionalFormatting sqref="H10:H1048576">
    <cfRule type="cellIs" dxfId="584" priority="2852" operator="lessThan">
      <formula>0</formula>
    </cfRule>
  </conditionalFormatting>
  <conditionalFormatting sqref="H10:H1048576">
    <cfRule type="cellIs" dxfId="583" priority="2851" operator="lessThan">
      <formula>0</formula>
    </cfRule>
  </conditionalFormatting>
  <conditionalFormatting sqref="H10:H1048576">
    <cfRule type="cellIs" dxfId="582" priority="2850" operator="lessThan">
      <formula>0</formula>
    </cfRule>
  </conditionalFormatting>
  <conditionalFormatting sqref="H10:H1048576">
    <cfRule type="cellIs" dxfId="581" priority="2849" operator="lessThan">
      <formula>0</formula>
    </cfRule>
  </conditionalFormatting>
  <conditionalFormatting sqref="H10:H1048576">
    <cfRule type="cellIs" dxfId="580" priority="2848" operator="lessThan">
      <formula>0</formula>
    </cfRule>
  </conditionalFormatting>
  <conditionalFormatting sqref="H10:H1048576">
    <cfRule type="cellIs" dxfId="579" priority="2847" operator="lessThan">
      <formula>0</formula>
    </cfRule>
  </conditionalFormatting>
  <conditionalFormatting sqref="H10:H1048576">
    <cfRule type="cellIs" dxfId="578" priority="2846" operator="lessThan">
      <formula>0</formula>
    </cfRule>
  </conditionalFormatting>
  <conditionalFormatting sqref="H10:H1048576">
    <cfRule type="cellIs" dxfId="577" priority="2845" operator="lessThan">
      <formula>0</formula>
    </cfRule>
  </conditionalFormatting>
  <conditionalFormatting sqref="H10:H1048576">
    <cfRule type="cellIs" dxfId="576" priority="2844" operator="lessThan">
      <formula>0</formula>
    </cfRule>
  </conditionalFormatting>
  <conditionalFormatting sqref="H10:H1048576">
    <cfRule type="cellIs" dxfId="575" priority="2843" operator="lessThan">
      <formula>0</formula>
    </cfRule>
  </conditionalFormatting>
  <conditionalFormatting sqref="H10:H1048576">
    <cfRule type="cellIs" dxfId="574" priority="2842" operator="lessThan">
      <formula>0</formula>
    </cfRule>
  </conditionalFormatting>
  <conditionalFormatting sqref="H10:H1048576">
    <cfRule type="cellIs" dxfId="573" priority="2841" operator="lessThan">
      <formula>0</formula>
    </cfRule>
  </conditionalFormatting>
  <conditionalFormatting sqref="H10:H1048576">
    <cfRule type="cellIs" dxfId="572" priority="2840" operator="lessThan">
      <formula>0</formula>
    </cfRule>
  </conditionalFormatting>
  <conditionalFormatting sqref="H10:H1048576">
    <cfRule type="cellIs" dxfId="571" priority="2839" operator="lessThan">
      <formula>0</formula>
    </cfRule>
  </conditionalFormatting>
  <conditionalFormatting sqref="H10:H1048576">
    <cfRule type="cellIs" dxfId="570" priority="2838" operator="lessThan">
      <formula>0</formula>
    </cfRule>
  </conditionalFormatting>
  <conditionalFormatting sqref="H10:H1048576">
    <cfRule type="cellIs" dxfId="569" priority="2837" operator="lessThan">
      <formula>0</formula>
    </cfRule>
  </conditionalFormatting>
  <conditionalFormatting sqref="H10:H1048576">
    <cfRule type="cellIs" dxfId="568" priority="2836" operator="lessThan">
      <formula>0</formula>
    </cfRule>
  </conditionalFormatting>
  <conditionalFormatting sqref="H10:H1048576">
    <cfRule type="cellIs" dxfId="567" priority="2835" operator="lessThan">
      <formula>0</formula>
    </cfRule>
  </conditionalFormatting>
  <conditionalFormatting sqref="H10:H1048576">
    <cfRule type="cellIs" dxfId="566" priority="2834" operator="lessThan">
      <formula>0</formula>
    </cfRule>
  </conditionalFormatting>
  <conditionalFormatting sqref="H10:H1048576">
    <cfRule type="cellIs" dxfId="565" priority="2833" operator="lessThan">
      <formula>0</formula>
    </cfRule>
  </conditionalFormatting>
  <conditionalFormatting sqref="H10:H1048576">
    <cfRule type="cellIs" dxfId="564" priority="2832" operator="lessThan">
      <formula>0</formula>
    </cfRule>
  </conditionalFormatting>
  <conditionalFormatting sqref="H10:H1048576">
    <cfRule type="cellIs" dxfId="563" priority="2831" operator="lessThan">
      <formula>0</formula>
    </cfRule>
  </conditionalFormatting>
  <conditionalFormatting sqref="H10:H1048576">
    <cfRule type="cellIs" dxfId="562" priority="2830" operator="lessThan">
      <formula>0</formula>
    </cfRule>
  </conditionalFormatting>
  <conditionalFormatting sqref="H10:H1048576">
    <cfRule type="cellIs" dxfId="561" priority="2829" operator="lessThan">
      <formula>0</formula>
    </cfRule>
  </conditionalFormatting>
  <conditionalFormatting sqref="H10:H1048576">
    <cfRule type="cellIs" dxfId="560" priority="2828" operator="lessThan">
      <formula>0</formula>
    </cfRule>
  </conditionalFormatting>
  <conditionalFormatting sqref="H10:H1048576">
    <cfRule type="cellIs" dxfId="559" priority="2827" operator="lessThan">
      <formula>0</formula>
    </cfRule>
  </conditionalFormatting>
  <conditionalFormatting sqref="H10:H1048576">
    <cfRule type="cellIs" dxfId="558" priority="2826" operator="lessThan">
      <formula>0</formula>
    </cfRule>
  </conditionalFormatting>
  <conditionalFormatting sqref="H10:H1048576">
    <cfRule type="cellIs" dxfId="557" priority="2825" operator="lessThan">
      <formula>0</formula>
    </cfRule>
  </conditionalFormatting>
  <conditionalFormatting sqref="H10:H1048576">
    <cfRule type="cellIs" dxfId="556" priority="2824" operator="lessThan">
      <formula>0</formula>
    </cfRule>
  </conditionalFormatting>
  <conditionalFormatting sqref="H10:H1048576">
    <cfRule type="cellIs" dxfId="555" priority="2823" operator="lessThan">
      <formula>0</formula>
    </cfRule>
  </conditionalFormatting>
  <conditionalFormatting sqref="H10:H1048576">
    <cfRule type="cellIs" dxfId="554" priority="2822" operator="lessThan">
      <formula>0</formula>
    </cfRule>
  </conditionalFormatting>
  <conditionalFormatting sqref="H10:H1048576">
    <cfRule type="cellIs" dxfId="553" priority="2821" operator="lessThan">
      <formula>0</formula>
    </cfRule>
  </conditionalFormatting>
  <conditionalFormatting sqref="H10:H1048576">
    <cfRule type="cellIs" dxfId="552" priority="2820" operator="lessThan">
      <formula>0</formula>
    </cfRule>
  </conditionalFormatting>
  <conditionalFormatting sqref="H10:H1048576">
    <cfRule type="cellIs" dxfId="551" priority="2819" operator="lessThan">
      <formula>0</formula>
    </cfRule>
  </conditionalFormatting>
  <conditionalFormatting sqref="H10:H1048576">
    <cfRule type="cellIs" dxfId="550" priority="2818" operator="lessThan">
      <formula>0</formula>
    </cfRule>
  </conditionalFormatting>
  <conditionalFormatting sqref="H10:H1048576">
    <cfRule type="cellIs" dxfId="549" priority="2817" operator="lessThan">
      <formula>0</formula>
    </cfRule>
  </conditionalFormatting>
  <conditionalFormatting sqref="H10:H1048576">
    <cfRule type="cellIs" dxfId="548" priority="2816" operator="lessThan">
      <formula>0</formula>
    </cfRule>
  </conditionalFormatting>
  <conditionalFormatting sqref="H10:H1048576">
    <cfRule type="cellIs" dxfId="547" priority="2815" operator="lessThan">
      <formula>0</formula>
    </cfRule>
  </conditionalFormatting>
  <conditionalFormatting sqref="H10:H1048576">
    <cfRule type="cellIs" dxfId="546" priority="2814" operator="lessThan">
      <formula>0</formula>
    </cfRule>
  </conditionalFormatting>
  <conditionalFormatting sqref="H10:H1048576">
    <cfRule type="cellIs" dxfId="545" priority="2813" operator="lessThan">
      <formula>0</formula>
    </cfRule>
  </conditionalFormatting>
  <conditionalFormatting sqref="H10:H1048576">
    <cfRule type="cellIs" dxfId="544" priority="2812" operator="lessThan">
      <formula>0</formula>
    </cfRule>
  </conditionalFormatting>
  <conditionalFormatting sqref="H10:H1048576">
    <cfRule type="cellIs" dxfId="543" priority="2811" operator="lessThan">
      <formula>0</formula>
    </cfRule>
  </conditionalFormatting>
  <conditionalFormatting sqref="H10:H1048576">
    <cfRule type="cellIs" dxfId="542" priority="2810" operator="lessThan">
      <formula>0</formula>
    </cfRule>
  </conditionalFormatting>
  <conditionalFormatting sqref="H10:H1048576">
    <cfRule type="cellIs" dxfId="541" priority="2809" operator="lessThan">
      <formula>0</formula>
    </cfRule>
  </conditionalFormatting>
  <conditionalFormatting sqref="H10:H1048576">
    <cfRule type="cellIs" dxfId="540" priority="2808" operator="lessThan">
      <formula>0</formula>
    </cfRule>
  </conditionalFormatting>
  <conditionalFormatting sqref="H10:H1048576">
    <cfRule type="cellIs" dxfId="539" priority="2807" operator="lessThan">
      <formula>0</formula>
    </cfRule>
  </conditionalFormatting>
  <conditionalFormatting sqref="H10:H1048576">
    <cfRule type="cellIs" dxfId="538" priority="2806" operator="lessThan">
      <formula>0</formula>
    </cfRule>
  </conditionalFormatting>
  <conditionalFormatting sqref="H10:H1048576">
    <cfRule type="cellIs" dxfId="537" priority="2805" operator="lessThan">
      <formula>0</formula>
    </cfRule>
  </conditionalFormatting>
  <conditionalFormatting sqref="H10:H1048576">
    <cfRule type="cellIs" dxfId="536" priority="2804" operator="lessThan">
      <formula>0</formula>
    </cfRule>
  </conditionalFormatting>
  <conditionalFormatting sqref="H10:H1048576">
    <cfRule type="cellIs" dxfId="535" priority="2803" operator="lessThan">
      <formula>0</formula>
    </cfRule>
  </conditionalFormatting>
  <conditionalFormatting sqref="H10:H1048576">
    <cfRule type="cellIs" dxfId="534" priority="2802" operator="lessThan">
      <formula>0</formula>
    </cfRule>
  </conditionalFormatting>
  <conditionalFormatting sqref="H10:H1048576">
    <cfRule type="cellIs" dxfId="533" priority="2801" operator="lessThan">
      <formula>0</formula>
    </cfRule>
  </conditionalFormatting>
  <conditionalFormatting sqref="H10:H1048576">
    <cfRule type="cellIs" dxfId="532" priority="2800" operator="lessThan">
      <formula>0</formula>
    </cfRule>
  </conditionalFormatting>
  <conditionalFormatting sqref="H10:H1048576">
    <cfRule type="cellIs" dxfId="531" priority="2799" operator="lessThan">
      <formula>0</formula>
    </cfRule>
  </conditionalFormatting>
  <conditionalFormatting sqref="H10:H1048576">
    <cfRule type="cellIs" dxfId="530" priority="2798" operator="lessThan">
      <formula>0</formula>
    </cfRule>
  </conditionalFormatting>
  <conditionalFormatting sqref="H10:H1048576">
    <cfRule type="cellIs" dxfId="529" priority="2797" operator="lessThan">
      <formula>0</formula>
    </cfRule>
  </conditionalFormatting>
  <conditionalFormatting sqref="H10:H1048576">
    <cfRule type="cellIs" dxfId="528" priority="2796" operator="lessThan">
      <formula>0</formula>
    </cfRule>
  </conditionalFormatting>
  <conditionalFormatting sqref="H10:H1048576">
    <cfRule type="cellIs" dxfId="527" priority="2795" operator="lessThan">
      <formula>0</formula>
    </cfRule>
  </conditionalFormatting>
  <conditionalFormatting sqref="H10:H1048576">
    <cfRule type="cellIs" dxfId="526" priority="2794" operator="lessThan">
      <formula>0</formula>
    </cfRule>
  </conditionalFormatting>
  <conditionalFormatting sqref="H10:H1048576">
    <cfRule type="cellIs" dxfId="525" priority="2793" operator="lessThan">
      <formula>0</formula>
    </cfRule>
  </conditionalFormatting>
  <conditionalFormatting sqref="H10:H1048576">
    <cfRule type="cellIs" dxfId="524" priority="2792" operator="lessThan">
      <formula>0</formula>
    </cfRule>
  </conditionalFormatting>
  <conditionalFormatting sqref="H10:H1048576">
    <cfRule type="cellIs" dxfId="523" priority="2791" operator="lessThan">
      <formula>0</formula>
    </cfRule>
  </conditionalFormatting>
  <conditionalFormatting sqref="H10:H1048576">
    <cfRule type="cellIs" dxfId="522" priority="2790" operator="lessThan">
      <formula>0</formula>
    </cfRule>
  </conditionalFormatting>
  <conditionalFormatting sqref="H10:H1048576">
    <cfRule type="cellIs" dxfId="521" priority="2789" operator="lessThan">
      <formula>0</formula>
    </cfRule>
  </conditionalFormatting>
  <conditionalFormatting sqref="H10:H1048576">
    <cfRule type="cellIs" dxfId="520" priority="2788" operator="lessThan">
      <formula>0</formula>
    </cfRule>
  </conditionalFormatting>
  <conditionalFormatting sqref="H10:H1048576">
    <cfRule type="cellIs" dxfId="519" priority="2787" operator="lessThan">
      <formula>0</formula>
    </cfRule>
  </conditionalFormatting>
  <conditionalFormatting sqref="H10:H1048576">
    <cfRule type="cellIs" dxfId="518" priority="2786" operator="lessThan">
      <formula>0</formula>
    </cfRule>
  </conditionalFormatting>
  <conditionalFormatting sqref="H10:H1048576">
    <cfRule type="cellIs" dxfId="517" priority="2785" operator="lessThan">
      <formula>0</formula>
    </cfRule>
  </conditionalFormatting>
  <conditionalFormatting sqref="H10:H1048576">
    <cfRule type="cellIs" dxfId="516" priority="2784" operator="lessThan">
      <formula>0</formula>
    </cfRule>
  </conditionalFormatting>
  <conditionalFormatting sqref="H10:H1048576">
    <cfRule type="cellIs" dxfId="515" priority="2783" operator="lessThan">
      <formula>0</formula>
    </cfRule>
  </conditionalFormatting>
  <conditionalFormatting sqref="H10:H1048576">
    <cfRule type="cellIs" dxfId="514" priority="2782" operator="lessThan">
      <formula>0</formula>
    </cfRule>
  </conditionalFormatting>
  <conditionalFormatting sqref="H10:H1048576">
    <cfRule type="cellIs" dxfId="513" priority="2781" operator="lessThan">
      <formula>0</formula>
    </cfRule>
  </conditionalFormatting>
  <conditionalFormatting sqref="H10:H1048576">
    <cfRule type="cellIs" dxfId="512" priority="2780" operator="lessThan">
      <formula>0</formula>
    </cfRule>
  </conditionalFormatting>
  <conditionalFormatting sqref="H10:H1048576">
    <cfRule type="cellIs" dxfId="511" priority="2779" operator="lessThan">
      <formula>0</formula>
    </cfRule>
  </conditionalFormatting>
  <conditionalFormatting sqref="H10:H1048576">
    <cfRule type="cellIs" dxfId="510" priority="2778" operator="lessThan">
      <formula>0</formula>
    </cfRule>
  </conditionalFormatting>
  <conditionalFormatting sqref="H10:H1048576">
    <cfRule type="cellIs" dxfId="509" priority="2777" operator="lessThan">
      <formula>0</formula>
    </cfRule>
  </conditionalFormatting>
  <conditionalFormatting sqref="H10:H1048576">
    <cfRule type="cellIs" dxfId="508" priority="2776" operator="lessThan">
      <formula>0</formula>
    </cfRule>
  </conditionalFormatting>
  <conditionalFormatting sqref="H10:H1048576">
    <cfRule type="cellIs" dxfId="507" priority="2775" operator="lessThan">
      <formula>0</formula>
    </cfRule>
  </conditionalFormatting>
  <conditionalFormatting sqref="H10:H1048576">
    <cfRule type="cellIs" dxfId="506" priority="2774" operator="lessThan">
      <formula>0</formula>
    </cfRule>
  </conditionalFormatting>
  <conditionalFormatting sqref="H10:H1048576">
    <cfRule type="cellIs" dxfId="505" priority="2773" operator="lessThan">
      <formula>0</formula>
    </cfRule>
  </conditionalFormatting>
  <conditionalFormatting sqref="H10:H1048576">
    <cfRule type="cellIs" dxfId="504" priority="2772" operator="lessThan">
      <formula>0</formula>
    </cfRule>
  </conditionalFormatting>
  <conditionalFormatting sqref="H10:H1048576">
    <cfRule type="cellIs" dxfId="503" priority="2771" operator="lessThan">
      <formula>0</formula>
    </cfRule>
  </conditionalFormatting>
  <conditionalFormatting sqref="H10:H1048576">
    <cfRule type="cellIs" dxfId="502" priority="2770" operator="lessThan">
      <formula>0</formula>
    </cfRule>
  </conditionalFormatting>
  <conditionalFormatting sqref="H10:H1048576">
    <cfRule type="cellIs" dxfId="501" priority="2769" operator="lessThan">
      <formula>0</formula>
    </cfRule>
  </conditionalFormatting>
  <conditionalFormatting sqref="H10:H1048576">
    <cfRule type="cellIs" dxfId="500" priority="2768" operator="lessThan">
      <formula>0</formula>
    </cfRule>
  </conditionalFormatting>
  <conditionalFormatting sqref="H10:H1048576">
    <cfRule type="cellIs" dxfId="499" priority="2767" operator="lessThan">
      <formula>0</formula>
    </cfRule>
  </conditionalFormatting>
  <conditionalFormatting sqref="H10:H1048576">
    <cfRule type="cellIs" dxfId="498" priority="2766" operator="lessThan">
      <formula>0</formula>
    </cfRule>
  </conditionalFormatting>
  <conditionalFormatting sqref="H10:H1048576">
    <cfRule type="cellIs" dxfId="497" priority="2765" operator="lessThan">
      <formula>0</formula>
    </cfRule>
  </conditionalFormatting>
  <conditionalFormatting sqref="H10:H1048576">
    <cfRule type="cellIs" dxfId="496" priority="2764" operator="lessThan">
      <formula>0</formula>
    </cfRule>
  </conditionalFormatting>
  <conditionalFormatting sqref="H10:H1048576">
    <cfRule type="cellIs" dxfId="495" priority="2763" operator="lessThan">
      <formula>0</formula>
    </cfRule>
  </conditionalFormatting>
  <conditionalFormatting sqref="H10:H1048576">
    <cfRule type="cellIs" dxfId="494" priority="2762" operator="lessThan">
      <formula>0</formula>
    </cfRule>
  </conditionalFormatting>
  <conditionalFormatting sqref="H10:H1048576">
    <cfRule type="cellIs" dxfId="493" priority="2761" operator="lessThan">
      <formula>0</formula>
    </cfRule>
  </conditionalFormatting>
  <conditionalFormatting sqref="H10:H1048576">
    <cfRule type="cellIs" dxfId="492" priority="2760" operator="lessThan">
      <formula>0</formula>
    </cfRule>
  </conditionalFormatting>
  <conditionalFormatting sqref="H10:H1048576">
    <cfRule type="cellIs" dxfId="491" priority="2759" operator="lessThan">
      <formula>0</formula>
    </cfRule>
  </conditionalFormatting>
  <conditionalFormatting sqref="H10:H1048576">
    <cfRule type="cellIs" dxfId="490" priority="2758" operator="lessThan">
      <formula>0</formula>
    </cfRule>
  </conditionalFormatting>
  <conditionalFormatting sqref="H10:H1048576">
    <cfRule type="cellIs" dxfId="489" priority="2757" operator="lessThan">
      <formula>0</formula>
    </cfRule>
  </conditionalFormatting>
  <conditionalFormatting sqref="H10:H1048576">
    <cfRule type="cellIs" dxfId="488" priority="2756" operator="lessThan">
      <formula>0</formula>
    </cfRule>
  </conditionalFormatting>
  <conditionalFormatting sqref="H10:H1048576">
    <cfRule type="cellIs" dxfId="487" priority="2755" operator="lessThan">
      <formula>0</formula>
    </cfRule>
  </conditionalFormatting>
  <conditionalFormatting sqref="H10:H1048576">
    <cfRule type="cellIs" dxfId="486" priority="2754" operator="lessThan">
      <formula>0</formula>
    </cfRule>
  </conditionalFormatting>
  <conditionalFormatting sqref="H10:H1048576">
    <cfRule type="cellIs" dxfId="485" priority="2753" operator="lessThan">
      <formula>0</formula>
    </cfRule>
  </conditionalFormatting>
  <conditionalFormatting sqref="H10:H1048576">
    <cfRule type="cellIs" dxfId="484" priority="2752" operator="lessThan">
      <formula>0</formula>
    </cfRule>
  </conditionalFormatting>
  <conditionalFormatting sqref="H10:H1048576">
    <cfRule type="cellIs" dxfId="483" priority="2751" operator="lessThan">
      <formula>0</formula>
    </cfRule>
  </conditionalFormatting>
  <conditionalFormatting sqref="H10:H1048576">
    <cfRule type="cellIs" dxfId="482" priority="2750" operator="lessThan">
      <formula>0</formula>
    </cfRule>
  </conditionalFormatting>
  <conditionalFormatting sqref="H10:H1048576">
    <cfRule type="cellIs" dxfId="481" priority="2749" operator="lessThan">
      <formula>0</formula>
    </cfRule>
  </conditionalFormatting>
  <conditionalFormatting sqref="H10:H1048576">
    <cfRule type="cellIs" dxfId="480" priority="2748" operator="lessThan">
      <formula>0</formula>
    </cfRule>
  </conditionalFormatting>
  <conditionalFormatting sqref="H10:H1048576">
    <cfRule type="cellIs" dxfId="479" priority="2747" operator="lessThan">
      <formula>0</formula>
    </cfRule>
  </conditionalFormatting>
  <conditionalFormatting sqref="H10:H1048576">
    <cfRule type="cellIs" dxfId="478" priority="2746" operator="lessThan">
      <formula>0</formula>
    </cfRule>
  </conditionalFormatting>
  <conditionalFormatting sqref="H10:H1048576">
    <cfRule type="cellIs" dxfId="477" priority="2745" operator="lessThan">
      <formula>0</formula>
    </cfRule>
  </conditionalFormatting>
  <conditionalFormatting sqref="H10:H1048576">
    <cfRule type="cellIs" dxfId="476" priority="2744" operator="lessThan">
      <formula>0</formula>
    </cfRule>
  </conditionalFormatting>
  <conditionalFormatting sqref="H10:H1048576">
    <cfRule type="cellIs" dxfId="475" priority="2743" operator="lessThan">
      <formula>0</formula>
    </cfRule>
  </conditionalFormatting>
  <conditionalFormatting sqref="H10:H1048576">
    <cfRule type="cellIs" dxfId="474" priority="2742" operator="lessThan">
      <formula>0</formula>
    </cfRule>
  </conditionalFormatting>
  <conditionalFormatting sqref="H10:H1048576">
    <cfRule type="cellIs" dxfId="473" priority="2741" operator="lessThan">
      <formula>0</formula>
    </cfRule>
  </conditionalFormatting>
  <conditionalFormatting sqref="H10:H1048576">
    <cfRule type="cellIs" dxfId="472" priority="2740" operator="lessThan">
      <formula>0</formula>
    </cfRule>
  </conditionalFormatting>
  <conditionalFormatting sqref="H10:H1048576">
    <cfRule type="cellIs" dxfId="471" priority="2739" operator="lessThan">
      <formula>0</formula>
    </cfRule>
  </conditionalFormatting>
  <conditionalFormatting sqref="H10:H1048576">
    <cfRule type="cellIs" dxfId="470" priority="2738" operator="lessThan">
      <formula>0</formula>
    </cfRule>
  </conditionalFormatting>
  <conditionalFormatting sqref="H10:H1048576">
    <cfRule type="cellIs" dxfId="469" priority="2737" operator="lessThan">
      <formula>0</formula>
    </cfRule>
  </conditionalFormatting>
  <conditionalFormatting sqref="H10:H1048576">
    <cfRule type="cellIs" dxfId="468" priority="2736" operator="lessThan">
      <formula>0</formula>
    </cfRule>
  </conditionalFormatting>
  <conditionalFormatting sqref="H10:H1048576">
    <cfRule type="cellIs" dxfId="467" priority="2735" operator="lessThan">
      <formula>0</formula>
    </cfRule>
  </conditionalFormatting>
  <conditionalFormatting sqref="H10:H1048576">
    <cfRule type="cellIs" dxfId="466" priority="2734" operator="lessThan">
      <formula>0</formula>
    </cfRule>
  </conditionalFormatting>
  <conditionalFormatting sqref="H10:H1048576">
    <cfRule type="cellIs" dxfId="465" priority="2733" operator="lessThan">
      <formula>0</formula>
    </cfRule>
  </conditionalFormatting>
  <conditionalFormatting sqref="H10:H1048576">
    <cfRule type="cellIs" dxfId="464" priority="2732" operator="lessThan">
      <formula>0</formula>
    </cfRule>
  </conditionalFormatting>
  <conditionalFormatting sqref="H10:H1048576">
    <cfRule type="cellIs" dxfId="463" priority="2731" operator="lessThan">
      <formula>0</formula>
    </cfRule>
  </conditionalFormatting>
  <conditionalFormatting sqref="H10:H1048576">
    <cfRule type="cellIs" dxfId="462" priority="2730" operator="lessThan">
      <formula>0</formula>
    </cfRule>
  </conditionalFormatting>
  <conditionalFormatting sqref="H10:H1048576">
    <cfRule type="cellIs" dxfId="461" priority="2729" operator="lessThan">
      <formula>0</formula>
    </cfRule>
  </conditionalFormatting>
  <conditionalFormatting sqref="H10:H1048576">
    <cfRule type="cellIs" dxfId="460" priority="2728" operator="lessThan">
      <formula>0</formula>
    </cfRule>
  </conditionalFormatting>
  <conditionalFormatting sqref="H10:H1048576">
    <cfRule type="cellIs" dxfId="459" priority="2727" operator="lessThan">
      <formula>0</formula>
    </cfRule>
  </conditionalFormatting>
  <conditionalFormatting sqref="H10:H1048576">
    <cfRule type="cellIs" dxfId="458" priority="2726" operator="lessThan">
      <formula>0</formula>
    </cfRule>
  </conditionalFormatting>
  <conditionalFormatting sqref="H10:H1048576">
    <cfRule type="cellIs" dxfId="457" priority="2725" operator="lessThan">
      <formula>0</formula>
    </cfRule>
  </conditionalFormatting>
  <conditionalFormatting sqref="H10:H1048576">
    <cfRule type="cellIs" dxfId="456" priority="2724" operator="lessThan">
      <formula>0</formula>
    </cfRule>
  </conditionalFormatting>
  <conditionalFormatting sqref="H10:H1048576">
    <cfRule type="cellIs" dxfId="455" priority="2723" operator="lessThan">
      <formula>0</formula>
    </cfRule>
  </conditionalFormatting>
  <conditionalFormatting sqref="H10:H1048576">
    <cfRule type="cellIs" dxfId="454" priority="2722" operator="lessThan">
      <formula>0</formula>
    </cfRule>
  </conditionalFormatting>
  <conditionalFormatting sqref="H10:H1048576">
    <cfRule type="cellIs" dxfId="453" priority="2721" operator="lessThan">
      <formula>0</formula>
    </cfRule>
  </conditionalFormatting>
  <conditionalFormatting sqref="H10:H1048576">
    <cfRule type="cellIs" dxfId="452" priority="2720" operator="lessThan">
      <formula>0</formula>
    </cfRule>
  </conditionalFormatting>
  <conditionalFormatting sqref="H10:H1048576">
    <cfRule type="cellIs" dxfId="451" priority="2719" operator="lessThan">
      <formula>0</formula>
    </cfRule>
  </conditionalFormatting>
  <conditionalFormatting sqref="H10:H1048576">
    <cfRule type="cellIs" dxfId="450" priority="2718" operator="lessThan">
      <formula>0</formula>
    </cfRule>
  </conditionalFormatting>
  <conditionalFormatting sqref="H10:H1048576">
    <cfRule type="cellIs" dxfId="449" priority="2717" operator="lessThan">
      <formula>0</formula>
    </cfRule>
  </conditionalFormatting>
  <conditionalFormatting sqref="H10:H1048576">
    <cfRule type="cellIs" dxfId="448" priority="2716" operator="lessThan">
      <formula>0</formula>
    </cfRule>
  </conditionalFormatting>
  <conditionalFormatting sqref="H10:H1048576">
    <cfRule type="cellIs" dxfId="447" priority="2715" operator="lessThan">
      <formula>0</formula>
    </cfRule>
  </conditionalFormatting>
  <conditionalFormatting sqref="H10:H1048576">
    <cfRule type="cellIs" dxfId="446" priority="2714" operator="lessThan">
      <formula>0</formula>
    </cfRule>
  </conditionalFormatting>
  <conditionalFormatting sqref="H10:H1048576">
    <cfRule type="cellIs" dxfId="445" priority="2713" operator="lessThan">
      <formula>0</formula>
    </cfRule>
  </conditionalFormatting>
  <conditionalFormatting sqref="H10:H1048576">
    <cfRule type="cellIs" dxfId="444" priority="2712" operator="lessThan">
      <formula>0</formula>
    </cfRule>
  </conditionalFormatting>
  <conditionalFormatting sqref="H10:H1048576">
    <cfRule type="cellIs" dxfId="443" priority="2711" operator="lessThan">
      <formula>0</formula>
    </cfRule>
  </conditionalFormatting>
  <conditionalFormatting sqref="H10:H1048576">
    <cfRule type="cellIs" dxfId="442" priority="2710" operator="lessThan">
      <formula>0</formula>
    </cfRule>
  </conditionalFormatting>
  <conditionalFormatting sqref="H10:H1048576">
    <cfRule type="cellIs" dxfId="441" priority="2709" operator="lessThan">
      <formula>0</formula>
    </cfRule>
  </conditionalFormatting>
  <conditionalFormatting sqref="H10:H1048576">
    <cfRule type="cellIs" dxfId="440" priority="2708" operator="lessThan">
      <formula>0</formula>
    </cfRule>
  </conditionalFormatting>
  <conditionalFormatting sqref="H10:H1048576">
    <cfRule type="cellIs" dxfId="439" priority="2707" operator="lessThan">
      <formula>0</formula>
    </cfRule>
  </conditionalFormatting>
  <conditionalFormatting sqref="H10:H1048576">
    <cfRule type="cellIs" dxfId="438" priority="2706" operator="lessThan">
      <formula>0</formula>
    </cfRule>
  </conditionalFormatting>
  <conditionalFormatting sqref="H10:H1048576">
    <cfRule type="cellIs" dxfId="437" priority="2705" operator="lessThan">
      <formula>0</formula>
    </cfRule>
  </conditionalFormatting>
  <conditionalFormatting sqref="H10:H1048576">
    <cfRule type="cellIs" dxfId="436" priority="2704" operator="lessThan">
      <formula>0</formula>
    </cfRule>
  </conditionalFormatting>
  <conditionalFormatting sqref="H10:H1048576">
    <cfRule type="cellIs" dxfId="435" priority="2703" operator="lessThan">
      <formula>0</formula>
    </cfRule>
  </conditionalFormatting>
  <conditionalFormatting sqref="H10:H1048576">
    <cfRule type="cellIs" dxfId="434" priority="2702" operator="lessThan">
      <formula>0</formula>
    </cfRule>
  </conditionalFormatting>
  <conditionalFormatting sqref="H10:H1048576">
    <cfRule type="cellIs" dxfId="433" priority="2701" operator="lessThan">
      <formula>0</formula>
    </cfRule>
  </conditionalFormatting>
  <conditionalFormatting sqref="H10:H1048576">
    <cfRule type="cellIs" dxfId="432" priority="2700" operator="lessThan">
      <formula>0</formula>
    </cfRule>
  </conditionalFormatting>
  <conditionalFormatting sqref="H10:H1048576">
    <cfRule type="cellIs" dxfId="431" priority="2699" operator="lessThan">
      <formula>0</formula>
    </cfRule>
  </conditionalFormatting>
  <conditionalFormatting sqref="H10:H1048576">
    <cfRule type="cellIs" dxfId="430" priority="2698" operator="lessThan">
      <formula>0</formula>
    </cfRule>
  </conditionalFormatting>
  <conditionalFormatting sqref="H10:H1048576">
    <cfRule type="cellIs" dxfId="429" priority="2697" operator="lessThan">
      <formula>0</formula>
    </cfRule>
  </conditionalFormatting>
  <conditionalFormatting sqref="H10:H1048576">
    <cfRule type="cellIs" dxfId="428" priority="2696" operator="lessThan">
      <formula>0</formula>
    </cfRule>
  </conditionalFormatting>
  <conditionalFormatting sqref="H10:H1048576">
    <cfRule type="cellIs" dxfId="427" priority="2695" operator="lessThan">
      <formula>0</formula>
    </cfRule>
  </conditionalFormatting>
  <conditionalFormatting sqref="H10:H1048576">
    <cfRule type="cellIs" dxfId="426" priority="2694" operator="lessThan">
      <formula>0</formula>
    </cfRule>
  </conditionalFormatting>
  <conditionalFormatting sqref="H10:H1048576">
    <cfRule type="cellIs" dxfId="425" priority="2693" operator="lessThan">
      <formula>0</formula>
    </cfRule>
  </conditionalFormatting>
  <conditionalFormatting sqref="H10:H1048576">
    <cfRule type="cellIs" dxfId="424" priority="2692" operator="lessThan">
      <formula>0</formula>
    </cfRule>
  </conditionalFormatting>
  <conditionalFormatting sqref="H10:H1048576">
    <cfRule type="cellIs" dxfId="423" priority="2691" operator="lessThan">
      <formula>0</formula>
    </cfRule>
  </conditionalFormatting>
  <conditionalFormatting sqref="H10:H1048576">
    <cfRule type="cellIs" dxfId="422" priority="2690" operator="lessThan">
      <formula>0</formula>
    </cfRule>
  </conditionalFormatting>
  <conditionalFormatting sqref="H10:H1048576">
    <cfRule type="cellIs" dxfId="421" priority="2689" operator="lessThan">
      <formula>0</formula>
    </cfRule>
  </conditionalFormatting>
  <conditionalFormatting sqref="H10:H1048576">
    <cfRule type="cellIs" dxfId="420" priority="2688" operator="lessThan">
      <formula>0</formula>
    </cfRule>
  </conditionalFormatting>
  <conditionalFormatting sqref="H10:H1048576">
    <cfRule type="cellIs" dxfId="419" priority="2687" operator="lessThan">
      <formula>0</formula>
    </cfRule>
  </conditionalFormatting>
  <conditionalFormatting sqref="H10:H1048576">
    <cfRule type="cellIs" dxfId="418" priority="2686" operator="lessThan">
      <formula>0</formula>
    </cfRule>
  </conditionalFormatting>
  <conditionalFormatting sqref="H10:H1048576">
    <cfRule type="cellIs" dxfId="417" priority="2685" operator="lessThan">
      <formula>0</formula>
    </cfRule>
  </conditionalFormatting>
  <conditionalFormatting sqref="H10:H1048576">
    <cfRule type="cellIs" dxfId="416" priority="2684" operator="lessThan">
      <formula>0</formula>
    </cfRule>
  </conditionalFormatting>
  <conditionalFormatting sqref="H10:H1048576">
    <cfRule type="cellIs" dxfId="415" priority="2683" operator="lessThan">
      <formula>0</formula>
    </cfRule>
  </conditionalFormatting>
  <conditionalFormatting sqref="H10:H1048576">
    <cfRule type="cellIs" dxfId="414" priority="2682" operator="lessThan">
      <formula>0</formula>
    </cfRule>
  </conditionalFormatting>
  <conditionalFormatting sqref="H10:H1048576">
    <cfRule type="cellIs" dxfId="413" priority="2681" operator="lessThan">
      <formula>0</formula>
    </cfRule>
  </conditionalFormatting>
  <conditionalFormatting sqref="H10:H1048576">
    <cfRule type="cellIs" dxfId="412" priority="2680" operator="lessThan">
      <formula>0</formula>
    </cfRule>
  </conditionalFormatting>
  <conditionalFormatting sqref="H10:H1048576">
    <cfRule type="cellIs" dxfId="411" priority="2679" operator="lessThan">
      <formula>0</formula>
    </cfRule>
  </conditionalFormatting>
  <conditionalFormatting sqref="H10:H1048576">
    <cfRule type="cellIs" dxfId="410" priority="2678" operator="lessThan">
      <formula>0</formula>
    </cfRule>
  </conditionalFormatting>
  <conditionalFormatting sqref="H10:H1048576">
    <cfRule type="cellIs" dxfId="409" priority="2677" operator="lessThan">
      <formula>0</formula>
    </cfRule>
  </conditionalFormatting>
  <conditionalFormatting sqref="H10:H1048576">
    <cfRule type="cellIs" dxfId="408" priority="2676" operator="lessThan">
      <formula>0</formula>
    </cfRule>
  </conditionalFormatting>
  <conditionalFormatting sqref="H10:H1048576">
    <cfRule type="cellIs" dxfId="407" priority="2675" operator="lessThan">
      <formula>0</formula>
    </cfRule>
  </conditionalFormatting>
  <conditionalFormatting sqref="H10:H1048576">
    <cfRule type="cellIs" dxfId="406" priority="2674" operator="lessThan">
      <formula>0</formula>
    </cfRule>
  </conditionalFormatting>
  <conditionalFormatting sqref="H10:H1048576">
    <cfRule type="cellIs" dxfId="405" priority="2673" operator="lessThan">
      <formula>0</formula>
    </cfRule>
  </conditionalFormatting>
  <conditionalFormatting sqref="H10:H1048576">
    <cfRule type="cellIs" dxfId="404" priority="2672" operator="lessThan">
      <formula>0</formula>
    </cfRule>
  </conditionalFormatting>
  <conditionalFormatting sqref="H10:H1048576">
    <cfRule type="cellIs" dxfId="403" priority="2671" operator="lessThan">
      <formula>0</formula>
    </cfRule>
  </conditionalFormatting>
  <conditionalFormatting sqref="H10:H1048576">
    <cfRule type="cellIs" dxfId="402" priority="2670" operator="lessThan">
      <formula>0</formula>
    </cfRule>
  </conditionalFormatting>
  <conditionalFormatting sqref="H10:H1048576">
    <cfRule type="cellIs" dxfId="401" priority="2669" operator="lessThan">
      <formula>0</formula>
    </cfRule>
  </conditionalFormatting>
  <conditionalFormatting sqref="H10:H1048576">
    <cfRule type="cellIs" dxfId="400" priority="2668" operator="lessThan">
      <formula>0</formula>
    </cfRule>
  </conditionalFormatting>
  <conditionalFormatting sqref="H10:H1048576">
    <cfRule type="cellIs" dxfId="399" priority="2667" operator="lessThan">
      <formula>0</formula>
    </cfRule>
  </conditionalFormatting>
  <conditionalFormatting sqref="H10:H1048576">
    <cfRule type="cellIs" dxfId="398" priority="2666" operator="lessThan">
      <formula>0</formula>
    </cfRule>
  </conditionalFormatting>
  <conditionalFormatting sqref="H10:H1048576">
    <cfRule type="cellIs" dxfId="397" priority="2665" operator="lessThan">
      <formula>0</formula>
    </cfRule>
  </conditionalFormatting>
  <conditionalFormatting sqref="H10:H1048576">
    <cfRule type="cellIs" dxfId="396" priority="2664" operator="lessThan">
      <formula>0</formula>
    </cfRule>
  </conditionalFormatting>
  <conditionalFormatting sqref="H10:H1048576">
    <cfRule type="cellIs" dxfId="395" priority="2663" operator="lessThan">
      <formula>0</formula>
    </cfRule>
  </conditionalFormatting>
  <conditionalFormatting sqref="H10:H1048576">
    <cfRule type="cellIs" dxfId="394" priority="2662" operator="lessThan">
      <formula>0</formula>
    </cfRule>
  </conditionalFormatting>
  <conditionalFormatting sqref="H10:H1048576">
    <cfRule type="cellIs" dxfId="393" priority="2661" operator="lessThan">
      <formula>0</formula>
    </cfRule>
  </conditionalFormatting>
  <conditionalFormatting sqref="H10:H1048576">
    <cfRule type="cellIs" dxfId="392" priority="2660" operator="lessThan">
      <formula>0</formula>
    </cfRule>
  </conditionalFormatting>
  <conditionalFormatting sqref="H10:H1048576">
    <cfRule type="cellIs" dxfId="391" priority="2659" operator="lessThan">
      <formula>0</formula>
    </cfRule>
  </conditionalFormatting>
  <conditionalFormatting sqref="H10:H1048576">
    <cfRule type="cellIs" dxfId="390" priority="2658" operator="lessThan">
      <formula>0</formula>
    </cfRule>
  </conditionalFormatting>
  <conditionalFormatting sqref="H10:H1048576">
    <cfRule type="cellIs" dxfId="389" priority="2657" operator="lessThan">
      <formula>0</formula>
    </cfRule>
  </conditionalFormatting>
  <conditionalFormatting sqref="H10:H1048576">
    <cfRule type="cellIs" dxfId="388" priority="2656" operator="lessThan">
      <formula>0</formula>
    </cfRule>
  </conditionalFormatting>
  <conditionalFormatting sqref="H10:H1048576">
    <cfRule type="cellIs" dxfId="387" priority="2655" operator="lessThan">
      <formula>0</formula>
    </cfRule>
  </conditionalFormatting>
  <conditionalFormatting sqref="H10:H1048576">
    <cfRule type="cellIs" dxfId="386" priority="2654" operator="lessThan">
      <formula>0</formula>
    </cfRule>
  </conditionalFormatting>
  <conditionalFormatting sqref="H10:H1048576">
    <cfRule type="cellIs" dxfId="385" priority="2653" operator="lessThan">
      <formula>0</formula>
    </cfRule>
  </conditionalFormatting>
  <conditionalFormatting sqref="H10:H1048576">
    <cfRule type="cellIs" dxfId="384" priority="2652" operator="lessThan">
      <formula>0</formula>
    </cfRule>
  </conditionalFormatting>
  <conditionalFormatting sqref="H10:H1048576">
    <cfRule type="cellIs" dxfId="383" priority="2651" operator="lessThan">
      <formula>0</formula>
    </cfRule>
  </conditionalFormatting>
  <conditionalFormatting sqref="H10:H1048576">
    <cfRule type="cellIs" dxfId="382" priority="2650" operator="lessThan">
      <formula>0</formula>
    </cfRule>
  </conditionalFormatting>
  <conditionalFormatting sqref="H10:H1048576">
    <cfRule type="cellIs" dxfId="381" priority="2649" operator="lessThan">
      <formula>0</formula>
    </cfRule>
  </conditionalFormatting>
  <conditionalFormatting sqref="H10:H1048576">
    <cfRule type="cellIs" dxfId="380" priority="2648" operator="lessThan">
      <formula>0</formula>
    </cfRule>
  </conditionalFormatting>
  <conditionalFormatting sqref="H10:H1048576">
    <cfRule type="cellIs" dxfId="379" priority="2647" operator="lessThan">
      <formula>0</formula>
    </cfRule>
  </conditionalFormatting>
  <conditionalFormatting sqref="H10:H1048576">
    <cfRule type="cellIs" dxfId="378" priority="2646" operator="lessThan">
      <formula>0</formula>
    </cfRule>
  </conditionalFormatting>
  <conditionalFormatting sqref="H10:H1048576">
    <cfRule type="cellIs" dxfId="377" priority="2645" operator="lessThan">
      <formula>0</formula>
    </cfRule>
  </conditionalFormatting>
  <conditionalFormatting sqref="H10:H1048576">
    <cfRule type="cellIs" dxfId="376" priority="2644" operator="lessThan">
      <formula>0</formula>
    </cfRule>
  </conditionalFormatting>
  <conditionalFormatting sqref="H10:H1048576">
    <cfRule type="cellIs" dxfId="375" priority="2643" operator="lessThan">
      <formula>0</formula>
    </cfRule>
  </conditionalFormatting>
  <conditionalFormatting sqref="H10:H1048576">
    <cfRule type="cellIs" dxfId="374" priority="2642" operator="lessThan">
      <formula>0</formula>
    </cfRule>
  </conditionalFormatting>
  <conditionalFormatting sqref="H10:H1048576">
    <cfRule type="cellIs" dxfId="373" priority="2641" operator="lessThan">
      <formula>0</formula>
    </cfRule>
  </conditionalFormatting>
  <conditionalFormatting sqref="H10:H1048576">
    <cfRule type="cellIs" dxfId="372" priority="2640" operator="lessThan">
      <formula>0</formula>
    </cfRule>
  </conditionalFormatting>
  <conditionalFormatting sqref="H10:H1048576">
    <cfRule type="cellIs" dxfId="371" priority="2639" operator="lessThan">
      <formula>0</formula>
    </cfRule>
  </conditionalFormatting>
  <conditionalFormatting sqref="H10:H1048576">
    <cfRule type="cellIs" dxfId="370" priority="2638" operator="lessThan">
      <formula>0</formula>
    </cfRule>
  </conditionalFormatting>
  <conditionalFormatting sqref="H10:H1048576">
    <cfRule type="cellIs" dxfId="369" priority="2637" operator="lessThan">
      <formula>0</formula>
    </cfRule>
  </conditionalFormatting>
  <conditionalFormatting sqref="H10:H1048576">
    <cfRule type="cellIs" dxfId="368" priority="2636" operator="lessThan">
      <formula>0</formula>
    </cfRule>
  </conditionalFormatting>
  <conditionalFormatting sqref="H10:H1048576">
    <cfRule type="cellIs" dxfId="367" priority="2635" operator="lessThan">
      <formula>0</formula>
    </cfRule>
  </conditionalFormatting>
  <conditionalFormatting sqref="H10:H1048576">
    <cfRule type="cellIs" dxfId="366" priority="2634" operator="lessThan">
      <formula>0</formula>
    </cfRule>
  </conditionalFormatting>
  <conditionalFormatting sqref="H10:H1048576">
    <cfRule type="cellIs" dxfId="365" priority="2633" operator="lessThan">
      <formula>0</formula>
    </cfRule>
  </conditionalFormatting>
  <conditionalFormatting sqref="H10:H1048576">
    <cfRule type="cellIs" dxfId="364" priority="2632" operator="lessThan">
      <formula>0</formula>
    </cfRule>
  </conditionalFormatting>
  <conditionalFormatting sqref="H10:H1048576">
    <cfRule type="cellIs" dxfId="363" priority="2631" operator="lessThan">
      <formula>0</formula>
    </cfRule>
  </conditionalFormatting>
  <conditionalFormatting sqref="H10:H1048576">
    <cfRule type="cellIs" dxfId="362" priority="2630" operator="lessThan">
      <formula>0</formula>
    </cfRule>
  </conditionalFormatting>
  <conditionalFormatting sqref="H10:H1048576">
    <cfRule type="cellIs" dxfId="361" priority="2629" operator="lessThan">
      <formula>0</formula>
    </cfRule>
  </conditionalFormatting>
  <conditionalFormatting sqref="H10:H1048576">
    <cfRule type="cellIs" dxfId="360" priority="2628" operator="lessThan">
      <formula>0</formula>
    </cfRule>
  </conditionalFormatting>
  <conditionalFormatting sqref="H10:H1048576">
    <cfRule type="cellIs" dxfId="359" priority="2627" operator="lessThan">
      <formula>0</formula>
    </cfRule>
  </conditionalFormatting>
  <conditionalFormatting sqref="H10:H1048576">
    <cfRule type="cellIs" dxfId="358" priority="2626" operator="lessThan">
      <formula>0</formula>
    </cfRule>
  </conditionalFormatting>
  <conditionalFormatting sqref="H10:H1048576">
    <cfRule type="cellIs" dxfId="357" priority="2625" operator="lessThan">
      <formula>0</formula>
    </cfRule>
  </conditionalFormatting>
  <conditionalFormatting sqref="H10:H1048576">
    <cfRule type="cellIs" dxfId="356" priority="2624" operator="lessThan">
      <formula>0</formula>
    </cfRule>
  </conditionalFormatting>
  <conditionalFormatting sqref="H10:H1048576">
    <cfRule type="cellIs" dxfId="355" priority="2623" operator="lessThan">
      <formula>0</formula>
    </cfRule>
  </conditionalFormatting>
  <conditionalFormatting sqref="H10:H1048576">
    <cfRule type="cellIs" dxfId="354" priority="2622" operator="lessThan">
      <formula>0</formula>
    </cfRule>
  </conditionalFormatting>
  <conditionalFormatting sqref="H10:H1048576">
    <cfRule type="cellIs" dxfId="353" priority="2621" operator="lessThan">
      <formula>0</formula>
    </cfRule>
  </conditionalFormatting>
  <conditionalFormatting sqref="H10:H1048576">
    <cfRule type="cellIs" dxfId="352" priority="2620" operator="lessThan">
      <formula>0</formula>
    </cfRule>
  </conditionalFormatting>
  <conditionalFormatting sqref="H10:H1048576">
    <cfRule type="cellIs" dxfId="351" priority="2619" operator="lessThan">
      <formula>0</formula>
    </cfRule>
  </conditionalFormatting>
  <conditionalFormatting sqref="H10:H1048576">
    <cfRule type="cellIs" dxfId="350" priority="2618" operator="lessThan">
      <formula>0</formula>
    </cfRule>
  </conditionalFormatting>
  <conditionalFormatting sqref="H10:H1048576">
    <cfRule type="cellIs" dxfId="349" priority="2617" operator="lessThan">
      <formula>0</formula>
    </cfRule>
  </conditionalFormatting>
  <conditionalFormatting sqref="H10:H1048576">
    <cfRule type="cellIs" dxfId="348" priority="2616" operator="lessThan">
      <formula>0</formula>
    </cfRule>
  </conditionalFormatting>
  <conditionalFormatting sqref="H10:H1048576">
    <cfRule type="cellIs" dxfId="347" priority="2615" operator="lessThan">
      <formula>0</formula>
    </cfRule>
  </conditionalFormatting>
  <conditionalFormatting sqref="H10:H1048576">
    <cfRule type="cellIs" dxfId="346" priority="2614" operator="lessThan">
      <formula>0</formula>
    </cfRule>
  </conditionalFormatting>
  <conditionalFormatting sqref="H10:H1048576">
    <cfRule type="cellIs" dxfId="345" priority="2613" operator="lessThan">
      <formula>0</formula>
    </cfRule>
  </conditionalFormatting>
  <conditionalFormatting sqref="H10:H1048576">
    <cfRule type="cellIs" dxfId="344" priority="2612" operator="lessThan">
      <formula>0</formula>
    </cfRule>
  </conditionalFormatting>
  <conditionalFormatting sqref="H10:H1048576">
    <cfRule type="cellIs" dxfId="343" priority="2611" operator="lessThan">
      <formula>0</formula>
    </cfRule>
  </conditionalFormatting>
  <conditionalFormatting sqref="H10:H1048576">
    <cfRule type="cellIs" dxfId="342" priority="2610" operator="lessThan">
      <formula>0</formula>
    </cfRule>
  </conditionalFormatting>
  <conditionalFormatting sqref="H10:H1048576">
    <cfRule type="cellIs" dxfId="341" priority="2609" operator="lessThan">
      <formula>0</formula>
    </cfRule>
  </conditionalFormatting>
  <conditionalFormatting sqref="H10:H1048576">
    <cfRule type="cellIs" dxfId="340" priority="2608" operator="lessThan">
      <formula>0</formula>
    </cfRule>
  </conditionalFormatting>
  <conditionalFormatting sqref="H10:H1048576">
    <cfRule type="cellIs" dxfId="339" priority="2607" operator="lessThan">
      <formula>0</formula>
    </cfRule>
  </conditionalFormatting>
  <conditionalFormatting sqref="H10:H1048576">
    <cfRule type="cellIs" dxfId="338" priority="2606" operator="lessThan">
      <formula>0</formula>
    </cfRule>
  </conditionalFormatting>
  <conditionalFormatting sqref="H10:H1048576">
    <cfRule type="cellIs" dxfId="337" priority="2605" operator="lessThan">
      <formula>0</formula>
    </cfRule>
  </conditionalFormatting>
  <conditionalFormatting sqref="H10:H1048576">
    <cfRule type="cellIs" dxfId="336" priority="2604" operator="lessThan">
      <formula>0</formula>
    </cfRule>
  </conditionalFormatting>
  <conditionalFormatting sqref="H10:H1048576">
    <cfRule type="cellIs" dxfId="335" priority="2603" operator="lessThan">
      <formula>0</formula>
    </cfRule>
  </conditionalFormatting>
  <conditionalFormatting sqref="H10:H1048576">
    <cfRule type="cellIs" dxfId="334" priority="2602" operator="lessThan">
      <formula>0</formula>
    </cfRule>
  </conditionalFormatting>
  <conditionalFormatting sqref="H10:H1048576">
    <cfRule type="cellIs" dxfId="333" priority="2601" operator="lessThan">
      <formula>0</formula>
    </cfRule>
  </conditionalFormatting>
  <conditionalFormatting sqref="H10:H1048576">
    <cfRule type="cellIs" dxfId="332" priority="2600" operator="lessThan">
      <formula>0</formula>
    </cfRule>
  </conditionalFormatting>
  <conditionalFormatting sqref="H10:H1048576">
    <cfRule type="cellIs" dxfId="331" priority="2599" operator="lessThan">
      <formula>0</formula>
    </cfRule>
  </conditionalFormatting>
  <conditionalFormatting sqref="H10:H1048576">
    <cfRule type="cellIs" dxfId="330" priority="2598" operator="lessThan">
      <formula>0</formula>
    </cfRule>
  </conditionalFormatting>
  <conditionalFormatting sqref="H10:H1048576">
    <cfRule type="cellIs" dxfId="329" priority="2597" operator="lessThan">
      <formula>0</formula>
    </cfRule>
  </conditionalFormatting>
  <conditionalFormatting sqref="H10:H1048576">
    <cfRule type="cellIs" dxfId="328" priority="2596" operator="lessThan">
      <formula>0</formula>
    </cfRule>
  </conditionalFormatting>
  <conditionalFormatting sqref="H10:H1048576">
    <cfRule type="cellIs" dxfId="327" priority="2595" operator="lessThan">
      <formula>0</formula>
    </cfRule>
  </conditionalFormatting>
  <conditionalFormatting sqref="H10:H1048576">
    <cfRule type="cellIs" dxfId="326" priority="2594" operator="lessThan">
      <formula>0</formula>
    </cfRule>
  </conditionalFormatting>
  <conditionalFormatting sqref="H10:H1048576">
    <cfRule type="cellIs" dxfId="325" priority="2593" operator="lessThan">
      <formula>0</formula>
    </cfRule>
  </conditionalFormatting>
  <conditionalFormatting sqref="H10:H1048576">
    <cfRule type="cellIs" dxfId="324" priority="2592" operator="lessThan">
      <formula>0</formula>
    </cfRule>
  </conditionalFormatting>
  <conditionalFormatting sqref="H10:H1048576">
    <cfRule type="cellIs" dxfId="323" priority="2591" operator="lessThan">
      <formula>0</formula>
    </cfRule>
  </conditionalFormatting>
  <conditionalFormatting sqref="H10:H1048576">
    <cfRule type="cellIs" dxfId="322" priority="2590" operator="lessThan">
      <formula>0</formula>
    </cfRule>
  </conditionalFormatting>
  <conditionalFormatting sqref="H10:H1048576">
    <cfRule type="cellIs" dxfId="321" priority="2589" operator="lessThan">
      <formula>0</formula>
    </cfRule>
  </conditionalFormatting>
  <conditionalFormatting sqref="H10:H1048576">
    <cfRule type="cellIs" dxfId="320" priority="2588" operator="lessThan">
      <formula>0</formula>
    </cfRule>
  </conditionalFormatting>
  <conditionalFormatting sqref="H10:H1048576">
    <cfRule type="cellIs" dxfId="319" priority="2587" operator="lessThan">
      <formula>0</formula>
    </cfRule>
  </conditionalFormatting>
  <conditionalFormatting sqref="H10:H1048576">
    <cfRule type="cellIs" dxfId="318" priority="2586" operator="lessThan">
      <formula>0</formula>
    </cfRule>
  </conditionalFormatting>
  <conditionalFormatting sqref="H10:H1048576">
    <cfRule type="cellIs" dxfId="317" priority="2585" operator="lessThan">
      <formula>0</formula>
    </cfRule>
  </conditionalFormatting>
  <conditionalFormatting sqref="H10:H1048576">
    <cfRule type="cellIs" dxfId="316" priority="2584" operator="lessThan">
      <formula>0</formula>
    </cfRule>
  </conditionalFormatting>
  <conditionalFormatting sqref="H10:H1048576">
    <cfRule type="cellIs" dxfId="315" priority="2583" operator="lessThan">
      <formula>0</formula>
    </cfRule>
  </conditionalFormatting>
  <conditionalFormatting sqref="H10:H1048576">
    <cfRule type="cellIs" dxfId="314" priority="2582" operator="lessThan">
      <formula>0</formula>
    </cfRule>
  </conditionalFormatting>
  <conditionalFormatting sqref="H10:H1048576">
    <cfRule type="cellIs" dxfId="313" priority="2581" operator="lessThan">
      <formula>0</formula>
    </cfRule>
  </conditionalFormatting>
  <conditionalFormatting sqref="H10:H1048576">
    <cfRule type="cellIs" dxfId="312" priority="2580" operator="lessThan">
      <formula>0</formula>
    </cfRule>
  </conditionalFormatting>
  <conditionalFormatting sqref="H10:H1048576">
    <cfRule type="cellIs" dxfId="311" priority="2579" operator="lessThan">
      <formula>0</formula>
    </cfRule>
  </conditionalFormatting>
  <conditionalFormatting sqref="H10:H1048576">
    <cfRule type="cellIs" dxfId="310" priority="2578" operator="lessThan">
      <formula>0</formula>
    </cfRule>
  </conditionalFormatting>
  <conditionalFormatting sqref="H10:H1048576">
    <cfRule type="cellIs" dxfId="309" priority="2577" operator="lessThan">
      <formula>0</formula>
    </cfRule>
  </conditionalFormatting>
  <conditionalFormatting sqref="H10:H1048576">
    <cfRule type="cellIs" dxfId="308" priority="2576" operator="lessThan">
      <formula>0</formula>
    </cfRule>
  </conditionalFormatting>
  <conditionalFormatting sqref="H10:H1048576">
    <cfRule type="cellIs" dxfId="307" priority="2575" operator="lessThan">
      <formula>0</formula>
    </cfRule>
  </conditionalFormatting>
  <conditionalFormatting sqref="H10:H1048576">
    <cfRule type="cellIs" dxfId="306" priority="2574" operator="lessThan">
      <formula>0</formula>
    </cfRule>
  </conditionalFormatting>
  <conditionalFormatting sqref="H10:H1048576">
    <cfRule type="cellIs" dxfId="305" priority="2573" operator="lessThan">
      <formula>0</formula>
    </cfRule>
  </conditionalFormatting>
  <conditionalFormatting sqref="H10:H1048576">
    <cfRule type="cellIs" dxfId="304" priority="2572" operator="lessThan">
      <formula>0</formula>
    </cfRule>
  </conditionalFormatting>
  <conditionalFormatting sqref="H10:H1048576">
    <cfRule type="cellIs" dxfId="303" priority="2571" operator="lessThan">
      <formula>0</formula>
    </cfRule>
  </conditionalFormatting>
  <conditionalFormatting sqref="H10:H1048576">
    <cfRule type="cellIs" dxfId="302" priority="2570" operator="lessThan">
      <formula>0</formula>
    </cfRule>
  </conditionalFormatting>
  <conditionalFormatting sqref="H10:H1048576">
    <cfRule type="cellIs" dxfId="301" priority="2569" operator="lessThan">
      <formula>0</formula>
    </cfRule>
  </conditionalFormatting>
  <conditionalFormatting sqref="H10:H1048576">
    <cfRule type="cellIs" dxfId="300" priority="2568" operator="lessThan">
      <formula>0</formula>
    </cfRule>
  </conditionalFormatting>
  <conditionalFormatting sqref="H10:H1048576">
    <cfRule type="cellIs" dxfId="299" priority="2567" operator="lessThan">
      <formula>0</formula>
    </cfRule>
  </conditionalFormatting>
  <conditionalFormatting sqref="H10:H1048576">
    <cfRule type="cellIs" dxfId="298" priority="2566" operator="lessThan">
      <formula>0</formula>
    </cfRule>
  </conditionalFormatting>
  <conditionalFormatting sqref="H10:H1048576">
    <cfRule type="cellIs" dxfId="297" priority="2565" operator="lessThan">
      <formula>0</formula>
    </cfRule>
  </conditionalFormatting>
  <conditionalFormatting sqref="H10:H1048576">
    <cfRule type="cellIs" dxfId="296" priority="2564" operator="lessThan">
      <formula>0</formula>
    </cfRule>
  </conditionalFormatting>
  <conditionalFormatting sqref="H10:H1048576">
    <cfRule type="cellIs" dxfId="295" priority="2563" operator="lessThan">
      <formula>0</formula>
    </cfRule>
  </conditionalFormatting>
  <conditionalFormatting sqref="H10:H1048576">
    <cfRule type="cellIs" dxfId="294" priority="2562" operator="lessThan">
      <formula>0</formula>
    </cfRule>
  </conditionalFormatting>
  <conditionalFormatting sqref="H10:H1048576">
    <cfRule type="cellIs" dxfId="293" priority="2561" operator="lessThan">
      <formula>0</formula>
    </cfRule>
  </conditionalFormatting>
  <conditionalFormatting sqref="H10:H1048576">
    <cfRule type="cellIs" dxfId="292" priority="2560" operator="lessThan">
      <formula>0</formula>
    </cfRule>
  </conditionalFormatting>
  <conditionalFormatting sqref="H10:H1048576">
    <cfRule type="cellIs" dxfId="291" priority="2559" operator="lessThan">
      <formula>0</formula>
    </cfRule>
  </conditionalFormatting>
  <conditionalFormatting sqref="H10:H1048576">
    <cfRule type="cellIs" dxfId="290" priority="2558" operator="lessThan">
      <formula>0</formula>
    </cfRule>
  </conditionalFormatting>
  <conditionalFormatting sqref="H10:H1048576">
    <cfRule type="cellIs" dxfId="289" priority="2557" operator="lessThan">
      <formula>0</formula>
    </cfRule>
  </conditionalFormatting>
  <conditionalFormatting sqref="H10:H1048576">
    <cfRule type="cellIs" dxfId="288" priority="2556" operator="lessThan">
      <formula>0</formula>
    </cfRule>
  </conditionalFormatting>
  <conditionalFormatting sqref="H10:H1048576">
    <cfRule type="cellIs" dxfId="287" priority="2555" operator="lessThan">
      <formula>0</formula>
    </cfRule>
  </conditionalFormatting>
  <conditionalFormatting sqref="H10:H1048576">
    <cfRule type="cellIs" dxfId="286" priority="2554" operator="lessThan">
      <formula>0</formula>
    </cfRule>
  </conditionalFormatting>
  <conditionalFormatting sqref="H10:H1048576">
    <cfRule type="cellIs" dxfId="285" priority="2553" operator="lessThan">
      <formula>0</formula>
    </cfRule>
  </conditionalFormatting>
  <conditionalFormatting sqref="H10:H1048576">
    <cfRule type="cellIs" dxfId="284" priority="2552" operator="lessThan">
      <formula>0</formula>
    </cfRule>
  </conditionalFormatting>
  <conditionalFormatting sqref="H10:H1048576">
    <cfRule type="cellIs" dxfId="283" priority="2551" operator="lessThan">
      <formula>0</formula>
    </cfRule>
  </conditionalFormatting>
  <conditionalFormatting sqref="H10:H1048576">
    <cfRule type="cellIs" dxfId="282" priority="2550" operator="lessThan">
      <formula>0</formula>
    </cfRule>
  </conditionalFormatting>
  <conditionalFormatting sqref="H10:H1048576">
    <cfRule type="cellIs" dxfId="281" priority="2549" operator="lessThan">
      <formula>0</formula>
    </cfRule>
  </conditionalFormatting>
  <conditionalFormatting sqref="H10:H1048576">
    <cfRule type="cellIs" dxfId="280" priority="2548" operator="lessThan">
      <formula>0</formula>
    </cfRule>
  </conditionalFormatting>
  <conditionalFormatting sqref="H10:H1048576">
    <cfRule type="cellIs" dxfId="279" priority="2547" operator="lessThan">
      <formula>0</formula>
    </cfRule>
  </conditionalFormatting>
  <conditionalFormatting sqref="H10:H1048576">
    <cfRule type="cellIs" dxfId="278" priority="2546" operator="lessThan">
      <formula>0</formula>
    </cfRule>
  </conditionalFormatting>
  <conditionalFormatting sqref="H10:H1048576">
    <cfRule type="cellIs" dxfId="277" priority="2545" operator="lessThan">
      <formula>0</formula>
    </cfRule>
  </conditionalFormatting>
  <conditionalFormatting sqref="H10:H1048576">
    <cfRule type="cellIs" dxfId="276" priority="2544" operator="lessThan">
      <formula>0</formula>
    </cfRule>
  </conditionalFormatting>
  <conditionalFormatting sqref="H10:H1048576">
    <cfRule type="cellIs" dxfId="275" priority="2543" operator="lessThan">
      <formula>0</formula>
    </cfRule>
  </conditionalFormatting>
  <conditionalFormatting sqref="H10:H1048576">
    <cfRule type="cellIs" dxfId="274" priority="2542" operator="lessThan">
      <formula>0</formula>
    </cfRule>
  </conditionalFormatting>
  <conditionalFormatting sqref="H10:H1048576">
    <cfRule type="cellIs" dxfId="273" priority="2541" operator="lessThan">
      <formula>0</formula>
    </cfRule>
  </conditionalFormatting>
  <conditionalFormatting sqref="H10:H1048576">
    <cfRule type="cellIs" dxfId="272" priority="2540" operator="lessThan">
      <formula>0</formula>
    </cfRule>
  </conditionalFormatting>
  <conditionalFormatting sqref="H10:H1048576">
    <cfRule type="cellIs" dxfId="271" priority="2539" operator="lessThan">
      <formula>0</formula>
    </cfRule>
  </conditionalFormatting>
  <conditionalFormatting sqref="H10:H1048576">
    <cfRule type="cellIs" dxfId="270" priority="2538" operator="lessThan">
      <formula>0</formula>
    </cfRule>
  </conditionalFormatting>
  <conditionalFormatting sqref="H10:H1048576">
    <cfRule type="cellIs" dxfId="269" priority="2537" operator="lessThan">
      <formula>0</formula>
    </cfRule>
  </conditionalFormatting>
  <conditionalFormatting sqref="H10:H1048576">
    <cfRule type="cellIs" dxfId="268" priority="2536" operator="lessThan">
      <formula>0</formula>
    </cfRule>
  </conditionalFormatting>
  <conditionalFormatting sqref="H10:H1048576">
    <cfRule type="cellIs" dxfId="267" priority="2535" operator="lessThan">
      <formula>0</formula>
    </cfRule>
  </conditionalFormatting>
  <conditionalFormatting sqref="H10:H1048576">
    <cfRule type="cellIs" dxfId="266" priority="2534" operator="lessThan">
      <formula>0</formula>
    </cfRule>
  </conditionalFormatting>
  <conditionalFormatting sqref="H10:H1048576">
    <cfRule type="cellIs" dxfId="265" priority="2533" operator="lessThan">
      <formula>0</formula>
    </cfRule>
  </conditionalFormatting>
  <conditionalFormatting sqref="H10:H1048576">
    <cfRule type="cellIs" dxfId="264" priority="2532" operator="lessThan">
      <formula>0</formula>
    </cfRule>
  </conditionalFormatting>
  <conditionalFormatting sqref="H10:H1048576">
    <cfRule type="cellIs" dxfId="263" priority="2531" operator="lessThan">
      <formula>0</formula>
    </cfRule>
  </conditionalFormatting>
  <conditionalFormatting sqref="H10:H1048576">
    <cfRule type="cellIs" dxfId="262" priority="2530" operator="lessThan">
      <formula>0</formula>
    </cfRule>
  </conditionalFormatting>
  <conditionalFormatting sqref="H10:H1048576">
    <cfRule type="cellIs" dxfId="261" priority="2529" operator="lessThan">
      <formula>0</formula>
    </cfRule>
  </conditionalFormatting>
  <conditionalFormatting sqref="H10:H1048576">
    <cfRule type="cellIs" dxfId="260" priority="2528" operator="lessThan">
      <formula>0</formula>
    </cfRule>
  </conditionalFormatting>
  <conditionalFormatting sqref="H10:H1048576">
    <cfRule type="cellIs" dxfId="259" priority="2527" operator="lessThan">
      <formula>0</formula>
    </cfRule>
  </conditionalFormatting>
  <conditionalFormatting sqref="H10:H1048576">
    <cfRule type="cellIs" dxfId="258" priority="2526" operator="lessThan">
      <formula>0</formula>
    </cfRule>
  </conditionalFormatting>
  <conditionalFormatting sqref="H10:H1048576">
    <cfRule type="cellIs" dxfId="257" priority="2525" operator="lessThan">
      <formula>0</formula>
    </cfRule>
  </conditionalFormatting>
  <conditionalFormatting sqref="H10:H1048576">
    <cfRule type="cellIs" dxfId="256" priority="2524" operator="lessThan">
      <formula>0</formula>
    </cfRule>
  </conditionalFormatting>
  <conditionalFormatting sqref="H10:H1048576">
    <cfRule type="cellIs" dxfId="255" priority="2523" operator="lessThan">
      <formula>0</formula>
    </cfRule>
  </conditionalFormatting>
  <conditionalFormatting sqref="H10:H1048576">
    <cfRule type="cellIs" dxfId="254" priority="2522" operator="lessThan">
      <formula>0</formula>
    </cfRule>
  </conditionalFormatting>
  <conditionalFormatting sqref="H10:H1048576">
    <cfRule type="cellIs" dxfId="253" priority="2521" operator="lessThan">
      <formula>0</formula>
    </cfRule>
  </conditionalFormatting>
  <conditionalFormatting sqref="H10:H1048576">
    <cfRule type="cellIs" dxfId="252" priority="2520" operator="lessThan">
      <formula>0</formula>
    </cfRule>
  </conditionalFormatting>
  <conditionalFormatting sqref="H10:H1048576">
    <cfRule type="cellIs" dxfId="251" priority="2519" operator="lessThan">
      <formula>0</formula>
    </cfRule>
  </conditionalFormatting>
  <conditionalFormatting sqref="H10:H1048576">
    <cfRule type="cellIs" dxfId="250" priority="2518" operator="lessThan">
      <formula>0</formula>
    </cfRule>
  </conditionalFormatting>
  <conditionalFormatting sqref="H10:H1048576">
    <cfRule type="cellIs" dxfId="249" priority="2517" operator="lessThan">
      <formula>0</formula>
    </cfRule>
  </conditionalFormatting>
  <conditionalFormatting sqref="H10:H1048576">
    <cfRule type="cellIs" dxfId="248" priority="2516" operator="lessThan">
      <formula>0</formula>
    </cfRule>
  </conditionalFormatting>
  <conditionalFormatting sqref="H10:H1048576">
    <cfRule type="cellIs" dxfId="247" priority="2515" operator="lessThan">
      <formula>0</formula>
    </cfRule>
  </conditionalFormatting>
  <conditionalFormatting sqref="H10:H1048576">
    <cfRule type="cellIs" dxfId="246" priority="2514" operator="lessThan">
      <formula>0</formula>
    </cfRule>
  </conditionalFormatting>
  <conditionalFormatting sqref="H10:H1048576">
    <cfRule type="cellIs" dxfId="245" priority="2513" operator="lessThan">
      <formula>0</formula>
    </cfRule>
  </conditionalFormatting>
  <conditionalFormatting sqref="H10:H1048576">
    <cfRule type="cellIs" dxfId="244" priority="2512" operator="lessThan">
      <formula>0</formula>
    </cfRule>
  </conditionalFormatting>
  <conditionalFormatting sqref="H10:H1048576">
    <cfRule type="cellIs" dxfId="243" priority="2511" operator="lessThan">
      <formula>0</formula>
    </cfRule>
  </conditionalFormatting>
  <conditionalFormatting sqref="H10:H1048576">
    <cfRule type="cellIs" dxfId="242" priority="2510" operator="lessThan">
      <formula>0</formula>
    </cfRule>
  </conditionalFormatting>
  <conditionalFormatting sqref="H10:H1048576">
    <cfRule type="cellIs" dxfId="241" priority="2509" operator="lessThan">
      <formula>0</formula>
    </cfRule>
  </conditionalFormatting>
  <conditionalFormatting sqref="H10:H1048576">
    <cfRule type="cellIs" dxfId="240" priority="2508" operator="lessThan">
      <formula>0</formula>
    </cfRule>
  </conditionalFormatting>
  <conditionalFormatting sqref="H10:H1048576">
    <cfRule type="cellIs" dxfId="239" priority="2507" operator="lessThan">
      <formula>0</formula>
    </cfRule>
  </conditionalFormatting>
  <conditionalFormatting sqref="H10:H1048576">
    <cfRule type="cellIs" dxfId="238" priority="2506" operator="lessThan">
      <formula>0</formula>
    </cfRule>
  </conditionalFormatting>
  <conditionalFormatting sqref="H10:H1048576">
    <cfRule type="cellIs" dxfId="237" priority="2505" operator="lessThan">
      <formula>0</formula>
    </cfRule>
  </conditionalFormatting>
  <conditionalFormatting sqref="H10:H1048576">
    <cfRule type="cellIs" dxfId="236" priority="2504" operator="lessThan">
      <formula>0</formula>
    </cfRule>
  </conditionalFormatting>
  <conditionalFormatting sqref="H10:H1048576">
    <cfRule type="cellIs" dxfId="235" priority="2503" operator="lessThan">
      <formula>0</formula>
    </cfRule>
  </conditionalFormatting>
  <conditionalFormatting sqref="H10:H1048576">
    <cfRule type="cellIs" dxfId="234" priority="2502" operator="lessThan">
      <formula>0</formula>
    </cfRule>
  </conditionalFormatting>
  <conditionalFormatting sqref="H10:H1048576">
    <cfRule type="cellIs" dxfId="233" priority="2501" operator="lessThan">
      <formula>0</formula>
    </cfRule>
  </conditionalFormatting>
  <conditionalFormatting sqref="H10:H1048576">
    <cfRule type="cellIs" dxfId="232" priority="2500" operator="lessThan">
      <formula>0</formula>
    </cfRule>
  </conditionalFormatting>
  <conditionalFormatting sqref="H10:H1048576">
    <cfRule type="cellIs" dxfId="231" priority="2499" operator="lessThan">
      <formula>0</formula>
    </cfRule>
  </conditionalFormatting>
  <conditionalFormatting sqref="H10:H1048576">
    <cfRule type="cellIs" dxfId="230" priority="2498" operator="lessThan">
      <formula>0</formula>
    </cfRule>
  </conditionalFormatting>
  <conditionalFormatting sqref="H10:H1048576">
    <cfRule type="cellIs" dxfId="229" priority="2497" operator="lessThan">
      <formula>0</formula>
    </cfRule>
  </conditionalFormatting>
  <conditionalFormatting sqref="H10:H1048576">
    <cfRule type="cellIs" dxfId="228" priority="2496" operator="lessThan">
      <formula>0</formula>
    </cfRule>
  </conditionalFormatting>
  <conditionalFormatting sqref="H10:H1048576">
    <cfRule type="cellIs" dxfId="227" priority="2495" operator="lessThan">
      <formula>0</formula>
    </cfRule>
  </conditionalFormatting>
  <conditionalFormatting sqref="H10:H1048576">
    <cfRule type="cellIs" dxfId="226" priority="2494" operator="lessThan">
      <formula>0</formula>
    </cfRule>
  </conditionalFormatting>
  <conditionalFormatting sqref="H10:H1048576">
    <cfRule type="cellIs" dxfId="225" priority="2493" operator="lessThan">
      <formula>0</formula>
    </cfRule>
  </conditionalFormatting>
  <conditionalFormatting sqref="H1:H1048576">
    <cfRule type="cellIs" dxfId="224" priority="2492" operator="lessThan">
      <formula>0</formula>
    </cfRule>
  </conditionalFormatting>
  <conditionalFormatting sqref="H1:H1048576">
    <cfRule type="cellIs" dxfId="223" priority="2491" operator="lessThan">
      <formula>0</formula>
    </cfRule>
  </conditionalFormatting>
  <conditionalFormatting sqref="H1:H1048576">
    <cfRule type="cellIs" dxfId="222" priority="2490" operator="lessThan">
      <formula>0</formula>
    </cfRule>
  </conditionalFormatting>
  <conditionalFormatting sqref="H1:H1048576">
    <cfRule type="cellIs" dxfId="221" priority="2489" operator="lessThan">
      <formula>0</formula>
    </cfRule>
  </conditionalFormatting>
  <conditionalFormatting sqref="H1:H1048576">
    <cfRule type="cellIs" dxfId="220" priority="2488" operator="lessThan">
      <formula>0</formula>
    </cfRule>
  </conditionalFormatting>
  <conditionalFormatting sqref="H1:H1048576">
    <cfRule type="cellIs" dxfId="219" priority="2487" operator="lessThan">
      <formula>0</formula>
    </cfRule>
  </conditionalFormatting>
  <conditionalFormatting sqref="H1:H1048576">
    <cfRule type="cellIs" dxfId="218" priority="2486" operator="lessThan">
      <formula>0</formula>
    </cfRule>
  </conditionalFormatting>
  <conditionalFormatting sqref="H1:H1048576">
    <cfRule type="cellIs" dxfId="217" priority="2485" operator="lessThan">
      <formula>0</formula>
    </cfRule>
  </conditionalFormatting>
  <conditionalFormatting sqref="H1:H1048576">
    <cfRule type="cellIs" dxfId="216" priority="2484" operator="lessThan">
      <formula>0</formula>
    </cfRule>
  </conditionalFormatting>
  <conditionalFormatting sqref="H1:H1048576">
    <cfRule type="cellIs" dxfId="215" priority="2483" operator="lessThan">
      <formula>0</formula>
    </cfRule>
  </conditionalFormatting>
  <conditionalFormatting sqref="H1:H1048576">
    <cfRule type="cellIs" dxfId="214" priority="2482" operator="lessThan">
      <formula>0</formula>
    </cfRule>
  </conditionalFormatting>
  <conditionalFormatting sqref="H1:H1048576">
    <cfRule type="cellIs" dxfId="213" priority="2481" operator="lessThan">
      <formula>0</formula>
    </cfRule>
  </conditionalFormatting>
  <conditionalFormatting sqref="H1:H1048576">
    <cfRule type="cellIs" dxfId="212" priority="2480" operator="lessThan">
      <formula>0</formula>
    </cfRule>
  </conditionalFormatting>
  <conditionalFormatting sqref="H1:H1048576">
    <cfRule type="cellIs" dxfId="211" priority="2479" operator="lessThan">
      <formula>0</formula>
    </cfRule>
  </conditionalFormatting>
  <conditionalFormatting sqref="H1:H1048576">
    <cfRule type="cellIs" dxfId="210" priority="2478" operator="lessThan">
      <formula>0</formula>
    </cfRule>
  </conditionalFormatting>
  <conditionalFormatting sqref="H1:H1048576">
    <cfRule type="cellIs" dxfId="209" priority="2477" operator="lessThan">
      <formula>0</formula>
    </cfRule>
  </conditionalFormatting>
  <conditionalFormatting sqref="H1:H1048576">
    <cfRule type="cellIs" dxfId="208" priority="2476" operator="lessThan">
      <formula>0</formula>
    </cfRule>
  </conditionalFormatting>
  <conditionalFormatting sqref="H1:H1048576">
    <cfRule type="cellIs" dxfId="207" priority="2475" operator="lessThan">
      <formula>0</formula>
    </cfRule>
  </conditionalFormatting>
  <conditionalFormatting sqref="H1:H1048576">
    <cfRule type="cellIs" dxfId="206" priority="2474" operator="lessThan">
      <formula>0</formula>
    </cfRule>
  </conditionalFormatting>
  <conditionalFormatting sqref="H1:H1048576">
    <cfRule type="cellIs" dxfId="205" priority="2473" operator="lessThan">
      <formula>0</formula>
    </cfRule>
  </conditionalFormatting>
  <conditionalFormatting sqref="H1:H1048576">
    <cfRule type="cellIs" dxfId="204" priority="2472" operator="lessThan">
      <formula>0</formula>
    </cfRule>
  </conditionalFormatting>
  <conditionalFormatting sqref="H1:H1048576">
    <cfRule type="cellIs" dxfId="203" priority="2471" operator="lessThan">
      <formula>0</formula>
    </cfRule>
  </conditionalFormatting>
  <conditionalFormatting sqref="H1:H1048576">
    <cfRule type="cellIs" dxfId="202" priority="2470" operator="lessThan">
      <formula>0</formula>
    </cfRule>
  </conditionalFormatting>
  <conditionalFormatting sqref="H1:H1048576">
    <cfRule type="cellIs" dxfId="201" priority="2469" operator="lessThan">
      <formula>0</formula>
    </cfRule>
  </conditionalFormatting>
  <conditionalFormatting sqref="H1:H1048576">
    <cfRule type="cellIs" dxfId="200" priority="2468" operator="lessThan">
      <formula>0</formula>
    </cfRule>
  </conditionalFormatting>
  <conditionalFormatting sqref="H1:H1048576">
    <cfRule type="cellIs" dxfId="199" priority="2467" operator="lessThan">
      <formula>0</formula>
    </cfRule>
  </conditionalFormatting>
  <conditionalFormatting sqref="H1:H1048576">
    <cfRule type="cellIs" dxfId="198" priority="2466" operator="lessThan">
      <formula>0</formula>
    </cfRule>
  </conditionalFormatting>
  <conditionalFormatting sqref="H1:H1048576">
    <cfRule type="cellIs" dxfId="197" priority="2465" operator="lessThan">
      <formula>0</formula>
    </cfRule>
  </conditionalFormatting>
  <conditionalFormatting sqref="H1:H1048576">
    <cfRule type="cellIs" dxfId="196" priority="2464" operator="lessThan">
      <formula>0</formula>
    </cfRule>
  </conditionalFormatting>
  <conditionalFormatting sqref="H1:H1048576">
    <cfRule type="cellIs" dxfId="195" priority="2463" operator="lessThan">
      <formula>0</formula>
    </cfRule>
  </conditionalFormatting>
  <conditionalFormatting sqref="H1:H1048576">
    <cfRule type="cellIs" dxfId="194" priority="2462" operator="lessThan">
      <formula>0</formula>
    </cfRule>
  </conditionalFormatting>
  <conditionalFormatting sqref="H1:H1048576">
    <cfRule type="cellIs" dxfId="193" priority="2461" operator="lessThan">
      <formula>0</formula>
    </cfRule>
  </conditionalFormatting>
  <conditionalFormatting sqref="H1:H1048576">
    <cfRule type="cellIs" dxfId="192" priority="2460" operator="lessThan">
      <formula>0</formula>
    </cfRule>
  </conditionalFormatting>
  <conditionalFormatting sqref="H1:H1048576">
    <cfRule type="cellIs" dxfId="191" priority="2459" operator="lessThan">
      <formula>0</formula>
    </cfRule>
  </conditionalFormatting>
  <conditionalFormatting sqref="H1:H1048576">
    <cfRule type="cellIs" dxfId="190" priority="2458" operator="lessThan">
      <formula>0</formula>
    </cfRule>
  </conditionalFormatting>
  <conditionalFormatting sqref="H1:H1048576">
    <cfRule type="cellIs" dxfId="189" priority="2457" operator="lessThan">
      <formula>0</formula>
    </cfRule>
  </conditionalFormatting>
  <conditionalFormatting sqref="H1:H1048576">
    <cfRule type="cellIs" dxfId="188" priority="2456" operator="lessThan">
      <formula>0</formula>
    </cfRule>
  </conditionalFormatting>
  <conditionalFormatting sqref="H1:H1048576">
    <cfRule type="cellIs" dxfId="187" priority="2455" operator="lessThan">
      <formula>0</formula>
    </cfRule>
  </conditionalFormatting>
  <conditionalFormatting sqref="H1:H1048576">
    <cfRule type="cellIs" dxfId="186" priority="2454" operator="lessThan">
      <formula>0</formula>
    </cfRule>
  </conditionalFormatting>
  <conditionalFormatting sqref="H1:H1048576">
    <cfRule type="cellIs" dxfId="185" priority="2453" operator="lessThan">
      <formula>0</formula>
    </cfRule>
  </conditionalFormatting>
  <conditionalFormatting sqref="H1:H1048576">
    <cfRule type="cellIs" dxfId="184" priority="2452" operator="lessThan">
      <formula>0</formula>
    </cfRule>
  </conditionalFormatting>
  <conditionalFormatting sqref="H1:H1048576">
    <cfRule type="cellIs" dxfId="183" priority="2451" operator="lessThan">
      <formula>0</formula>
    </cfRule>
  </conditionalFormatting>
  <conditionalFormatting sqref="H1:H1048576">
    <cfRule type="cellIs" dxfId="182" priority="2450" operator="lessThan">
      <formula>0</formula>
    </cfRule>
  </conditionalFormatting>
  <conditionalFormatting sqref="H1:H1048576">
    <cfRule type="cellIs" dxfId="181" priority="2449" operator="lessThan">
      <formula>0</formula>
    </cfRule>
  </conditionalFormatting>
  <conditionalFormatting sqref="H1:H1048576">
    <cfRule type="cellIs" dxfId="180" priority="2448" operator="lessThan">
      <formula>0</formula>
    </cfRule>
  </conditionalFormatting>
  <conditionalFormatting sqref="H1:H1048576">
    <cfRule type="cellIs" dxfId="179" priority="2447" operator="lessThan">
      <formula>0</formula>
    </cfRule>
  </conditionalFormatting>
  <conditionalFormatting sqref="H1:H1048576">
    <cfRule type="cellIs" dxfId="178" priority="2446" operator="lessThan">
      <formula>0</formula>
    </cfRule>
  </conditionalFormatting>
  <conditionalFormatting sqref="H1:H1048576">
    <cfRule type="cellIs" dxfId="177" priority="2445" operator="lessThan">
      <formula>0</formula>
    </cfRule>
  </conditionalFormatting>
  <conditionalFormatting sqref="H1:H1048576">
    <cfRule type="cellIs" dxfId="176" priority="2444" operator="lessThan">
      <formula>0</formula>
    </cfRule>
  </conditionalFormatting>
  <conditionalFormatting sqref="H1:H1048576">
    <cfRule type="cellIs" dxfId="175" priority="2443" operator="lessThan">
      <formula>0</formula>
    </cfRule>
  </conditionalFormatting>
  <conditionalFormatting sqref="H1:H1048576">
    <cfRule type="cellIs" dxfId="174" priority="2442" operator="lessThan">
      <formula>0</formula>
    </cfRule>
  </conditionalFormatting>
  <conditionalFormatting sqref="H1:H1048576">
    <cfRule type="cellIs" dxfId="173" priority="2441" operator="lessThan">
      <formula>0</formula>
    </cfRule>
  </conditionalFormatting>
  <conditionalFormatting sqref="H1:H1048576">
    <cfRule type="cellIs" dxfId="172" priority="2440" operator="lessThan">
      <formula>0</formula>
    </cfRule>
  </conditionalFormatting>
  <conditionalFormatting sqref="H1:H1048576">
    <cfRule type="cellIs" dxfId="171" priority="2439" operator="lessThan">
      <formula>0</formula>
    </cfRule>
  </conditionalFormatting>
  <conditionalFormatting sqref="H1:H1048576">
    <cfRule type="cellIs" dxfId="170" priority="2438" operator="lessThan">
      <formula>0</formula>
    </cfRule>
  </conditionalFormatting>
  <conditionalFormatting sqref="H1:H1048576">
    <cfRule type="cellIs" dxfId="169" priority="2437" operator="lessThan">
      <formula>0</formula>
    </cfRule>
  </conditionalFormatting>
  <conditionalFormatting sqref="H1:H1048576">
    <cfRule type="cellIs" dxfId="168" priority="2436" operator="lessThan">
      <formula>0</formula>
    </cfRule>
  </conditionalFormatting>
  <conditionalFormatting sqref="H1:H1048576">
    <cfRule type="cellIs" dxfId="167" priority="2435" operator="lessThan">
      <formula>0</formula>
    </cfRule>
  </conditionalFormatting>
  <conditionalFormatting sqref="H1:H1048576">
    <cfRule type="cellIs" dxfId="166" priority="2434" operator="lessThan">
      <formula>0</formula>
    </cfRule>
  </conditionalFormatting>
  <conditionalFormatting sqref="H1:H1048576">
    <cfRule type="cellIs" dxfId="165" priority="2433" operator="lessThan">
      <formula>0</formula>
    </cfRule>
  </conditionalFormatting>
  <conditionalFormatting sqref="H1:H1048576">
    <cfRule type="cellIs" dxfId="164" priority="2432" operator="lessThan">
      <formula>0</formula>
    </cfRule>
  </conditionalFormatting>
  <conditionalFormatting sqref="H1:H1048576">
    <cfRule type="cellIs" dxfId="163" priority="2431" operator="lessThan">
      <formula>0</formula>
    </cfRule>
  </conditionalFormatting>
  <conditionalFormatting sqref="H1:H1048576">
    <cfRule type="cellIs" dxfId="162" priority="2430" operator="lessThan">
      <formula>0</formula>
    </cfRule>
  </conditionalFormatting>
  <conditionalFormatting sqref="H1:H1048576">
    <cfRule type="cellIs" dxfId="161" priority="2429" operator="lessThan">
      <formula>0</formula>
    </cfRule>
  </conditionalFormatting>
  <conditionalFormatting sqref="H1:H1048576">
    <cfRule type="cellIs" dxfId="160" priority="2428" operator="lessThan">
      <formula>0</formula>
    </cfRule>
  </conditionalFormatting>
  <conditionalFormatting sqref="H1:H1048576">
    <cfRule type="cellIs" dxfId="159" priority="2427" operator="lessThan">
      <formula>0</formula>
    </cfRule>
  </conditionalFormatting>
  <conditionalFormatting sqref="H1:H1048576">
    <cfRule type="cellIs" dxfId="158" priority="2426" operator="lessThan">
      <formula>0</formula>
    </cfRule>
  </conditionalFormatting>
  <conditionalFormatting sqref="H1:H1048576">
    <cfRule type="cellIs" dxfId="157" priority="2425" operator="lessThan">
      <formula>0</formula>
    </cfRule>
  </conditionalFormatting>
  <conditionalFormatting sqref="H1:H1048576">
    <cfRule type="cellIs" dxfId="156" priority="2424" operator="lessThan">
      <formula>0</formula>
    </cfRule>
  </conditionalFormatting>
  <conditionalFormatting sqref="H1:H1048576">
    <cfRule type="cellIs" dxfId="155" priority="2423" operator="lessThan">
      <formula>0</formula>
    </cfRule>
  </conditionalFormatting>
  <conditionalFormatting sqref="H1:H1048576">
    <cfRule type="cellIs" dxfId="154" priority="2422" operator="lessThan">
      <formula>0</formula>
    </cfRule>
  </conditionalFormatting>
  <conditionalFormatting sqref="H1:H1048576">
    <cfRule type="cellIs" dxfId="153" priority="2421" operator="lessThan">
      <formula>0</formula>
    </cfRule>
  </conditionalFormatting>
  <conditionalFormatting sqref="H1:H1048576">
    <cfRule type="cellIs" dxfId="152" priority="2420" operator="lessThan">
      <formula>0</formula>
    </cfRule>
  </conditionalFormatting>
  <conditionalFormatting sqref="H1:H1048576">
    <cfRule type="cellIs" dxfId="151" priority="2419" operator="lessThan">
      <formula>0</formula>
    </cfRule>
  </conditionalFormatting>
  <conditionalFormatting sqref="H1:H1048576">
    <cfRule type="cellIs" dxfId="150" priority="2418" operator="lessThan">
      <formula>0</formula>
    </cfRule>
  </conditionalFormatting>
  <conditionalFormatting sqref="H1:H1048576">
    <cfRule type="cellIs" dxfId="149" priority="2417" operator="lessThan">
      <formula>0</formula>
    </cfRule>
  </conditionalFormatting>
  <conditionalFormatting sqref="H1:H1048576">
    <cfRule type="cellIs" dxfId="148" priority="2416" operator="lessThan">
      <formula>0</formula>
    </cfRule>
  </conditionalFormatting>
  <conditionalFormatting sqref="H1:H1048576">
    <cfRule type="cellIs" dxfId="147" priority="2415" operator="lessThan">
      <formula>0</formula>
    </cfRule>
  </conditionalFormatting>
  <conditionalFormatting sqref="H1:H1048576">
    <cfRule type="cellIs" dxfId="146" priority="2414" operator="lessThan">
      <formula>0</formula>
    </cfRule>
  </conditionalFormatting>
  <conditionalFormatting sqref="H1:H1048576">
    <cfRule type="cellIs" dxfId="145" priority="2413" operator="lessThan">
      <formula>0</formula>
    </cfRule>
  </conditionalFormatting>
  <conditionalFormatting sqref="H1:H1048576">
    <cfRule type="cellIs" dxfId="144" priority="2412" operator="lessThan">
      <formula>0</formula>
    </cfRule>
  </conditionalFormatting>
  <conditionalFormatting sqref="H1:H1048576">
    <cfRule type="cellIs" dxfId="143" priority="2411" operator="lessThan">
      <formula>0</formula>
    </cfRule>
  </conditionalFormatting>
  <conditionalFormatting sqref="H1:H1048576">
    <cfRule type="cellIs" dxfId="142" priority="2410" operator="lessThan">
      <formula>0</formula>
    </cfRule>
  </conditionalFormatting>
  <conditionalFormatting sqref="H1:H1048576">
    <cfRule type="cellIs" dxfId="141" priority="2409" operator="lessThan">
      <formula>0</formula>
    </cfRule>
  </conditionalFormatting>
  <conditionalFormatting sqref="H1:H1048576">
    <cfRule type="cellIs" dxfId="140" priority="2408" operator="lessThan">
      <formula>0</formula>
    </cfRule>
  </conditionalFormatting>
  <conditionalFormatting sqref="H1:H1048576">
    <cfRule type="cellIs" dxfId="139" priority="2407" operator="lessThan">
      <formula>0</formula>
    </cfRule>
  </conditionalFormatting>
  <conditionalFormatting sqref="H1:H1048576">
    <cfRule type="cellIs" dxfId="138" priority="2406" operator="lessThan">
      <formula>0</formula>
    </cfRule>
  </conditionalFormatting>
  <conditionalFormatting sqref="H1:H1048576">
    <cfRule type="cellIs" dxfId="137" priority="2405" operator="lessThan">
      <formula>0</formula>
    </cfRule>
  </conditionalFormatting>
  <conditionalFormatting sqref="H1:H1048576">
    <cfRule type="cellIs" dxfId="136" priority="2404" operator="lessThan">
      <formula>0</formula>
    </cfRule>
  </conditionalFormatting>
  <conditionalFormatting sqref="H1:H1048576">
    <cfRule type="cellIs" dxfId="135" priority="2403" operator="lessThan">
      <formula>0</formula>
    </cfRule>
  </conditionalFormatting>
  <conditionalFormatting sqref="H1:H1048576">
    <cfRule type="cellIs" dxfId="134" priority="2402" operator="lessThan">
      <formula>0</formula>
    </cfRule>
  </conditionalFormatting>
  <conditionalFormatting sqref="H1:H1048576">
    <cfRule type="cellIs" dxfId="133" priority="2401" operator="lessThan">
      <formula>0</formula>
    </cfRule>
  </conditionalFormatting>
  <conditionalFormatting sqref="H1:H1048576">
    <cfRule type="cellIs" dxfId="132" priority="2400" operator="lessThan">
      <formula>0</formula>
    </cfRule>
  </conditionalFormatting>
  <conditionalFormatting sqref="H1:H1048576">
    <cfRule type="cellIs" dxfId="131" priority="2399" operator="lessThan">
      <formula>0</formula>
    </cfRule>
  </conditionalFormatting>
  <conditionalFormatting sqref="H1:H1048576">
    <cfRule type="cellIs" dxfId="130" priority="2398" operator="lessThan">
      <formula>0</formula>
    </cfRule>
  </conditionalFormatting>
  <conditionalFormatting sqref="H1:H1048576">
    <cfRule type="cellIs" dxfId="129" priority="2397" operator="lessThan">
      <formula>0</formula>
    </cfRule>
  </conditionalFormatting>
  <conditionalFormatting sqref="H1:H1048576">
    <cfRule type="cellIs" dxfId="128" priority="2396" operator="lessThan">
      <formula>0</formula>
    </cfRule>
  </conditionalFormatting>
  <conditionalFormatting sqref="H1:H1048576">
    <cfRule type="cellIs" dxfId="127" priority="2395" operator="lessThan">
      <formula>0</formula>
    </cfRule>
  </conditionalFormatting>
  <conditionalFormatting sqref="H1:H1048576">
    <cfRule type="cellIs" dxfId="126" priority="2394" operator="lessThan">
      <formula>0</formula>
    </cfRule>
  </conditionalFormatting>
  <conditionalFormatting sqref="H1:H1048576">
    <cfRule type="cellIs" dxfId="125" priority="2393" operator="lessThan">
      <formula>0</formula>
    </cfRule>
  </conditionalFormatting>
  <conditionalFormatting sqref="H1:H1048576">
    <cfRule type="cellIs" dxfId="124" priority="2392" operator="lessThan">
      <formula>0</formula>
    </cfRule>
  </conditionalFormatting>
  <conditionalFormatting sqref="H1:H1048576">
    <cfRule type="cellIs" dxfId="123" priority="2391" operator="lessThan">
      <formula>0</formula>
    </cfRule>
  </conditionalFormatting>
  <conditionalFormatting sqref="H1:H1048576">
    <cfRule type="cellIs" dxfId="122" priority="2390" operator="lessThan">
      <formula>0</formula>
    </cfRule>
  </conditionalFormatting>
  <conditionalFormatting sqref="H1:H1048576">
    <cfRule type="cellIs" dxfId="121" priority="2389" operator="lessThan">
      <formula>0</formula>
    </cfRule>
  </conditionalFormatting>
  <conditionalFormatting sqref="H1:H1048576">
    <cfRule type="cellIs" dxfId="120" priority="2388" operator="lessThan">
      <formula>0</formula>
    </cfRule>
  </conditionalFormatting>
  <conditionalFormatting sqref="H1:H1048576">
    <cfRule type="cellIs" dxfId="119" priority="2387" operator="lessThan">
      <formula>0</formula>
    </cfRule>
  </conditionalFormatting>
  <conditionalFormatting sqref="H1:H1048576">
    <cfRule type="cellIs" dxfId="118" priority="2386" operator="lessThan">
      <formula>0</formula>
    </cfRule>
  </conditionalFormatting>
  <conditionalFormatting sqref="H1:H1048576">
    <cfRule type="cellIs" dxfId="117" priority="2385" operator="lessThan">
      <formula>0</formula>
    </cfRule>
  </conditionalFormatting>
  <conditionalFormatting sqref="H1:H1048576">
    <cfRule type="cellIs" dxfId="116" priority="2384" operator="lessThan">
      <formula>0</formula>
    </cfRule>
  </conditionalFormatting>
  <conditionalFormatting sqref="H1:H1048576">
    <cfRule type="cellIs" dxfId="115" priority="2383" operator="lessThan">
      <formula>0</formula>
    </cfRule>
  </conditionalFormatting>
  <conditionalFormatting sqref="H1:H1048576">
    <cfRule type="cellIs" dxfId="114" priority="2382" operator="lessThan">
      <formula>0</formula>
    </cfRule>
  </conditionalFormatting>
  <conditionalFormatting sqref="H1:H1048576">
    <cfRule type="cellIs" dxfId="113" priority="2381" operator="lessThan">
      <formula>0</formula>
    </cfRule>
  </conditionalFormatting>
  <conditionalFormatting sqref="H1:H1048576">
    <cfRule type="cellIs" dxfId="112" priority="2380" operator="lessThan">
      <formula>0</formula>
    </cfRule>
  </conditionalFormatting>
  <conditionalFormatting sqref="H1:H1048576">
    <cfRule type="cellIs" dxfId="111" priority="2379" operator="lessThan">
      <formula>0</formula>
    </cfRule>
  </conditionalFormatting>
  <conditionalFormatting sqref="H1:H1048576">
    <cfRule type="cellIs" dxfId="110" priority="2378" operator="lessThan">
      <formula>0</formula>
    </cfRule>
  </conditionalFormatting>
  <conditionalFormatting sqref="H1:H1048576">
    <cfRule type="cellIs" dxfId="109" priority="2377" operator="lessThan">
      <formula>0</formula>
    </cfRule>
  </conditionalFormatting>
  <conditionalFormatting sqref="H1:H1048576">
    <cfRule type="cellIs" dxfId="108" priority="2376" operator="lessThan">
      <formula>0</formula>
    </cfRule>
  </conditionalFormatting>
  <conditionalFormatting sqref="H1:H1048576">
    <cfRule type="cellIs" dxfId="107" priority="2375" operator="lessThan">
      <formula>0</formula>
    </cfRule>
  </conditionalFormatting>
  <conditionalFormatting sqref="H1:H1048576">
    <cfRule type="cellIs" dxfId="106" priority="2374" operator="lessThan">
      <formula>0</formula>
    </cfRule>
  </conditionalFormatting>
  <conditionalFormatting sqref="H1:H1048576">
    <cfRule type="cellIs" dxfId="105" priority="2373" operator="lessThan">
      <formula>0</formula>
    </cfRule>
  </conditionalFormatting>
  <conditionalFormatting sqref="H1:H1048576">
    <cfRule type="cellIs" dxfId="104" priority="2372" operator="lessThan">
      <formula>0</formula>
    </cfRule>
  </conditionalFormatting>
  <conditionalFormatting sqref="H1:H1048576">
    <cfRule type="cellIs" dxfId="103" priority="2371" operator="lessThan">
      <formula>0</formula>
    </cfRule>
  </conditionalFormatting>
  <conditionalFormatting sqref="H1:H1048576">
    <cfRule type="cellIs" dxfId="102" priority="2370" operator="lessThan">
      <formula>0</formula>
    </cfRule>
  </conditionalFormatting>
  <conditionalFormatting sqref="H1:H1048576">
    <cfRule type="cellIs" dxfId="101" priority="2369" operator="lessThan">
      <formula>0</formula>
    </cfRule>
  </conditionalFormatting>
  <conditionalFormatting sqref="H1:H1048576">
    <cfRule type="cellIs" dxfId="100" priority="2368" operator="lessThan">
      <formula>0</formula>
    </cfRule>
  </conditionalFormatting>
  <conditionalFormatting sqref="H1:H1048576">
    <cfRule type="cellIs" dxfId="99" priority="2367" operator="lessThan">
      <formula>0</formula>
    </cfRule>
  </conditionalFormatting>
  <conditionalFormatting sqref="H1:H1048576">
    <cfRule type="cellIs" dxfId="98" priority="2366" operator="lessThan">
      <formula>0</formula>
    </cfRule>
  </conditionalFormatting>
  <conditionalFormatting sqref="H1:H1048576">
    <cfRule type="cellIs" dxfId="97" priority="2365" operator="lessThan">
      <formula>0</formula>
    </cfRule>
  </conditionalFormatting>
  <conditionalFormatting sqref="H1:H1048576">
    <cfRule type="cellIs" dxfId="96" priority="2364" operator="lessThan">
      <formula>0</formula>
    </cfRule>
  </conditionalFormatting>
  <conditionalFormatting sqref="H1:H1048576">
    <cfRule type="cellIs" dxfId="95" priority="2363" operator="lessThan">
      <formula>0</formula>
    </cfRule>
  </conditionalFormatting>
  <conditionalFormatting sqref="H1:H1048576">
    <cfRule type="cellIs" dxfId="94" priority="2362" operator="lessThan">
      <formula>0</formula>
    </cfRule>
  </conditionalFormatting>
  <conditionalFormatting sqref="H1:H1048576">
    <cfRule type="cellIs" dxfId="93" priority="2361" operator="lessThan">
      <formula>0</formula>
    </cfRule>
  </conditionalFormatting>
  <conditionalFormatting sqref="H1:H1048576">
    <cfRule type="cellIs" dxfId="92" priority="2360" operator="lessThan">
      <formula>0</formula>
    </cfRule>
  </conditionalFormatting>
  <conditionalFormatting sqref="H1:H1048576">
    <cfRule type="cellIs" dxfId="91" priority="2359" operator="lessThan">
      <formula>0</formula>
    </cfRule>
  </conditionalFormatting>
  <conditionalFormatting sqref="H1:H1048576">
    <cfRule type="cellIs" dxfId="90" priority="2358" operator="lessThan">
      <formula>0</formula>
    </cfRule>
  </conditionalFormatting>
  <conditionalFormatting sqref="H1:H1048576">
    <cfRule type="cellIs" dxfId="89" priority="2357" operator="lessThan">
      <formula>0</formula>
    </cfRule>
  </conditionalFormatting>
  <conditionalFormatting sqref="H1:H1048576">
    <cfRule type="cellIs" dxfId="88" priority="2356" operator="lessThan">
      <formula>0</formula>
    </cfRule>
  </conditionalFormatting>
  <conditionalFormatting sqref="H1:H1048576">
    <cfRule type="cellIs" dxfId="87" priority="2355" operator="lessThan">
      <formula>0</formula>
    </cfRule>
  </conditionalFormatting>
  <conditionalFormatting sqref="H1:H1048576">
    <cfRule type="cellIs" dxfId="86" priority="2354" operator="lessThan">
      <formula>0</formula>
    </cfRule>
  </conditionalFormatting>
  <conditionalFormatting sqref="H1:H1048576">
    <cfRule type="cellIs" dxfId="85" priority="2353" operator="lessThan">
      <formula>0</formula>
    </cfRule>
  </conditionalFormatting>
  <conditionalFormatting sqref="H1:H1048576">
    <cfRule type="cellIs" dxfId="84" priority="2352" operator="lessThan">
      <formula>0</formula>
    </cfRule>
  </conditionalFormatting>
  <conditionalFormatting sqref="H1:H1048576">
    <cfRule type="cellIs" dxfId="83" priority="2351" operator="lessThan">
      <formula>0</formula>
    </cfRule>
  </conditionalFormatting>
  <conditionalFormatting sqref="H1:H1048576">
    <cfRule type="cellIs" dxfId="82" priority="2350" operator="lessThan">
      <formula>0</formula>
    </cfRule>
  </conditionalFormatting>
  <conditionalFormatting sqref="H1:H1048576">
    <cfRule type="cellIs" dxfId="81" priority="2349" operator="lessThan">
      <formula>0</formula>
    </cfRule>
  </conditionalFormatting>
  <conditionalFormatting sqref="H1:H1048576">
    <cfRule type="cellIs" dxfId="80" priority="2348" operator="lessThan">
      <formula>0</formula>
    </cfRule>
  </conditionalFormatting>
  <conditionalFormatting sqref="H1:H1048576">
    <cfRule type="cellIs" dxfId="79" priority="2347" operator="lessThan">
      <formula>0</formula>
    </cfRule>
  </conditionalFormatting>
  <conditionalFormatting sqref="H1:H1048576">
    <cfRule type="cellIs" dxfId="78" priority="2346" operator="lessThan">
      <formula>0</formula>
    </cfRule>
  </conditionalFormatting>
  <conditionalFormatting sqref="H1:H1048576">
    <cfRule type="cellIs" dxfId="77" priority="2345" operator="lessThan">
      <formula>0</formula>
    </cfRule>
  </conditionalFormatting>
  <conditionalFormatting sqref="H1:H1048576">
    <cfRule type="cellIs" dxfId="76" priority="2344" operator="lessThan">
      <formula>0</formula>
    </cfRule>
  </conditionalFormatting>
  <conditionalFormatting sqref="H1:H1048576">
    <cfRule type="cellIs" dxfId="75" priority="2343" operator="lessThan">
      <formula>0</formula>
    </cfRule>
  </conditionalFormatting>
  <conditionalFormatting sqref="H1:H1048576">
    <cfRule type="cellIs" dxfId="74" priority="2342" operator="lessThan">
      <formula>0</formula>
    </cfRule>
  </conditionalFormatting>
  <conditionalFormatting sqref="H1:H1048576">
    <cfRule type="cellIs" dxfId="73" priority="2341" operator="lessThan">
      <formula>0</formula>
    </cfRule>
  </conditionalFormatting>
  <conditionalFormatting sqref="H1:H1048576">
    <cfRule type="cellIs" dxfId="72" priority="2340" operator="lessThan">
      <formula>0</formula>
    </cfRule>
  </conditionalFormatting>
  <conditionalFormatting sqref="H1:H1048576">
    <cfRule type="cellIs" dxfId="71" priority="2339" operator="lessThan">
      <formula>0</formula>
    </cfRule>
  </conditionalFormatting>
  <conditionalFormatting sqref="H1:H1048576">
    <cfRule type="cellIs" dxfId="70" priority="2338" operator="lessThan">
      <formula>0</formula>
    </cfRule>
  </conditionalFormatting>
  <conditionalFormatting sqref="H1:H1048576">
    <cfRule type="cellIs" dxfId="69" priority="2337" operator="lessThan">
      <formula>0</formula>
    </cfRule>
  </conditionalFormatting>
  <conditionalFormatting sqref="H1:H1048576">
    <cfRule type="cellIs" dxfId="68" priority="2336" operator="lessThan">
      <formula>0</formula>
    </cfRule>
  </conditionalFormatting>
  <conditionalFormatting sqref="H1:H1048576">
    <cfRule type="cellIs" dxfId="67" priority="2335" operator="lessThan">
      <formula>0</formula>
    </cfRule>
  </conditionalFormatting>
  <conditionalFormatting sqref="H1:H1048576">
    <cfRule type="cellIs" dxfId="66" priority="2334" operator="lessThan">
      <formula>0</formula>
    </cfRule>
  </conditionalFormatting>
  <conditionalFormatting sqref="H1:H1048576">
    <cfRule type="cellIs" dxfId="65" priority="2333" operator="lessThan">
      <formula>0</formula>
    </cfRule>
  </conditionalFormatting>
  <conditionalFormatting sqref="H1:H1048576">
    <cfRule type="cellIs" dxfId="64" priority="2332" operator="lessThan">
      <formula>0</formula>
    </cfRule>
  </conditionalFormatting>
  <conditionalFormatting sqref="H1:H1048576">
    <cfRule type="cellIs" dxfId="63" priority="2331" operator="lessThan">
      <formula>0</formula>
    </cfRule>
  </conditionalFormatting>
  <conditionalFormatting sqref="H1:H1048576">
    <cfRule type="cellIs" dxfId="62" priority="2330" operator="lessThan">
      <formula>0</formula>
    </cfRule>
  </conditionalFormatting>
  <conditionalFormatting sqref="H1:H1048576">
    <cfRule type="cellIs" dxfId="61" priority="2329" operator="lessThan">
      <formula>0</formula>
    </cfRule>
  </conditionalFormatting>
  <conditionalFormatting sqref="H1:H1048576">
    <cfRule type="cellIs" dxfId="60" priority="2328" operator="lessThan">
      <formula>0</formula>
    </cfRule>
  </conditionalFormatting>
  <conditionalFormatting sqref="H1:H1048576">
    <cfRule type="cellIs" dxfId="59" priority="2327" operator="lessThan">
      <formula>0</formula>
    </cfRule>
  </conditionalFormatting>
  <conditionalFormatting sqref="H1:H1048576">
    <cfRule type="cellIs" dxfId="58" priority="2326" operator="lessThan">
      <formula>0</formula>
    </cfRule>
  </conditionalFormatting>
  <conditionalFormatting sqref="H1:H1048576">
    <cfRule type="cellIs" dxfId="57" priority="2325" operator="lessThan">
      <formula>0</formula>
    </cfRule>
  </conditionalFormatting>
  <conditionalFormatting sqref="H1:H1048576">
    <cfRule type="cellIs" dxfId="56" priority="2324" operator="lessThan">
      <formula>0</formula>
    </cfRule>
  </conditionalFormatting>
  <conditionalFormatting sqref="H1:H1048576">
    <cfRule type="cellIs" dxfId="55" priority="2323" operator="lessThan">
      <formula>0</formula>
    </cfRule>
  </conditionalFormatting>
  <conditionalFormatting sqref="H1:H1048576">
    <cfRule type="cellIs" dxfId="54" priority="2322" operator="lessThan">
      <formula>0</formula>
    </cfRule>
  </conditionalFormatting>
  <conditionalFormatting sqref="H1:H1048576">
    <cfRule type="cellIs" dxfId="53" priority="2321" operator="lessThan">
      <formula>0</formula>
    </cfRule>
  </conditionalFormatting>
  <conditionalFormatting sqref="B1:E1048576">
    <cfRule type="cellIs" dxfId="0" priority="1" operator="lessThan">
      <formula>0</formula>
    </cfRule>
  </conditionalFormatting>
  <pageMargins left="0.51181102362204722" right="0.51181102362204722" top="0.78740157480314965" bottom="0.78740157480314965" header="0.31496062992125984" footer="0.31496062992125984"/>
  <pageSetup scale="75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Atualizar">
                <anchor moveWithCells="1" sizeWithCells="1">
                  <from>
                    <xdr:col>10</xdr:col>
                    <xdr:colOff>0</xdr:colOff>
                    <xdr:row>25</xdr:row>
                    <xdr:rowOff>180975</xdr:rowOff>
                  </from>
                  <to>
                    <xdr:col>12</xdr:col>
                    <xdr:colOff>247650</xdr:colOff>
                    <xdr:row>29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1D89F-A80A-434B-9A12-6B02DB7CC5B6}">
  <sheetPr codeName="Sheet1">
    <tabColor rgb="FFFFFF00"/>
  </sheetPr>
  <dimension ref="A1:AM73"/>
  <sheetViews>
    <sheetView tabSelected="1" zoomScale="85" zoomScaleNormal="85" zoomScaleSheetLayoutView="90" workbookViewId="0">
      <pane xSplit="6" ySplit="11" topLeftCell="G12" activePane="bottomRight" state="frozen"/>
      <selection pane="topRight" activeCell="F1" sqref="F1"/>
      <selection pane="bottomLeft" activeCell="A14" sqref="A14"/>
      <selection pane="bottomRight" activeCell="H17" sqref="H17:H18"/>
    </sheetView>
  </sheetViews>
  <sheetFormatPr defaultRowHeight="15" outlineLevelCol="2"/>
  <cols>
    <col min="1" max="1" width="2.140625" style="330" customWidth="1"/>
    <col min="2" max="2" width="9.7109375" customWidth="1"/>
    <col min="3" max="3" width="8.42578125" customWidth="1" outlineLevel="1"/>
    <col min="4" max="4" width="8.28515625" customWidth="1" outlineLevel="1"/>
    <col min="5" max="5" width="8.42578125" customWidth="1" outlineLevel="1"/>
    <col min="6" max="6" width="8" customWidth="1"/>
    <col min="7" max="7" width="8.85546875" hidden="1" customWidth="1"/>
    <col min="8" max="8" width="9.28515625" customWidth="1"/>
    <col min="9" max="9" width="12.140625" style="3" customWidth="1"/>
    <col min="10" max="10" width="10.85546875" bestFit="1" customWidth="1"/>
    <col min="11" max="11" width="12.42578125" style="3" customWidth="1" outlineLevel="2"/>
    <col min="12" max="12" width="8.42578125" style="1" customWidth="1" outlineLevel="2"/>
    <col min="13" max="13" width="8.5703125" style="1" customWidth="1" outlineLevel="2"/>
    <col min="14" max="14" width="13.140625" customWidth="1" outlineLevel="1"/>
    <col min="15" max="15" width="10.5703125" customWidth="1" outlineLevel="1"/>
    <col min="16" max="16" width="8.28515625" customWidth="1" outlineLevel="1"/>
    <col min="17" max="17" width="12.28515625" customWidth="1" outlineLevel="1"/>
    <col min="18" max="18" width="8.140625" customWidth="1" outlineLevel="1"/>
    <col min="19" max="19" width="8.28515625" customWidth="1" outlineLevel="1"/>
    <col min="20" max="20" width="13.7109375" customWidth="1"/>
    <col min="21" max="21" width="9.42578125" customWidth="1"/>
    <col min="22" max="22" width="8.28515625" customWidth="1"/>
    <col min="23" max="23" width="12.140625" customWidth="1"/>
    <col min="24" max="24" width="9.85546875" style="3" customWidth="1"/>
    <col min="25" max="25" width="11.85546875" style="53" customWidth="1"/>
    <col min="26" max="26" width="11.42578125" style="5" customWidth="1"/>
    <col min="27" max="27" width="9.140625" customWidth="1"/>
    <col min="28" max="28" width="8.7109375" customWidth="1"/>
    <col min="29" max="29" width="9.42578125" customWidth="1"/>
    <col min="30" max="30" width="16.140625" customWidth="1"/>
    <col min="31" max="31" width="15.28515625" customWidth="1"/>
    <col min="32" max="32" width="12" customWidth="1"/>
    <col min="33" max="33" width="10.5703125" style="3" customWidth="1"/>
    <col min="34" max="34" width="9.85546875" customWidth="1"/>
    <col min="35" max="35" width="12.140625" style="31" customWidth="1"/>
  </cols>
  <sheetData>
    <row r="1" spans="1:39">
      <c r="B1" s="504" t="s">
        <v>137</v>
      </c>
      <c r="C1" s="538" cm="1">
        <f t="array" ref="C1">_xll.BDP(B1&amp;" EQUITY","LAST_PRICE")</f>
        <v>320.33</v>
      </c>
      <c r="D1" s="32">
        <f t="shared" ref="D1:D10" si="0">C1/E1-1</f>
        <v>-3.2557156232068007E-2</v>
      </c>
      <c r="E1" s="536">
        <f>_xll.BDP(B1&amp;" EQUITY","PX_YEST_CLOSE")</f>
        <v>331.11</v>
      </c>
      <c r="F1" t="s">
        <v>2490</v>
      </c>
      <c r="H1" s="520" cm="1">
        <f t="array" ref="H1">_xll.BDP(F1&amp;" EQUITY","LAST_PRICE")</f>
        <v>695.51</v>
      </c>
      <c r="I1" s="171">
        <f t="shared" ref="I1:I8" si="1">H1/J1-1</f>
        <v>4.5502375082676849E-2</v>
      </c>
      <c r="J1" s="503">
        <f>_xll.BDP(F1&amp;" EQUITY","PX_YEST_CLOSE")</f>
        <v>665.24</v>
      </c>
      <c r="K1" s="504" t="s">
        <v>6</v>
      </c>
      <c r="L1" s="538" cm="1">
        <f t="array" ref="L1">_xll.BDP(K1&amp;" EQUITY","LAST_PRICE")</f>
        <v>88.35</v>
      </c>
      <c r="M1" s="32">
        <f t="shared" ref="M1:M10" si="2">L1/N1-1</f>
        <v>8.1013235965312624E-3</v>
      </c>
      <c r="N1" s="536">
        <f>_xll.BDP(K1&amp;" EQUITY","PX_YEST_CLOSE")</f>
        <v>87.64</v>
      </c>
      <c r="P1" s="1">
        <f>S1/$M$6</f>
        <v>5.5532792935828676E-2</v>
      </c>
      <c r="Q1" t="s">
        <v>1912</v>
      </c>
      <c r="R1" s="5">
        <f>SUM(U24:U57)</f>
        <v>2.3057341035735712E-2</v>
      </c>
      <c r="S1" s="5">
        <f>T1/R1/10000</f>
        <v>-8.5320450385324698E-4</v>
      </c>
      <c r="T1" s="270">
        <f>SUM(V24:V57)</f>
        <v>-0.19672627218569999</v>
      </c>
      <c r="U1" s="406"/>
      <c r="V1" s="362">
        <f>SUM(V15:V23)</f>
        <v>1.0139539249070042</v>
      </c>
      <c r="W1" s="270"/>
      <c r="AG1" s="128">
        <v>0.28000000000000003</v>
      </c>
    </row>
    <row r="2" spans="1:39">
      <c r="B2" s="504" t="s">
        <v>94</v>
      </c>
      <c r="C2" s="538" cm="1">
        <f t="array" ref="C2">_xll.BDP(B2&amp;" EQUITY","LAST_PRICE")</f>
        <v>180.34</v>
      </c>
      <c r="D2" s="32">
        <f t="shared" si="0"/>
        <v>-2.8392866763644276E-2</v>
      </c>
      <c r="E2" s="536">
        <f>_xll.BDP(B2&amp;" EQUITY","PX_YEST_CLOSE")</f>
        <v>185.61</v>
      </c>
      <c r="F2" t="s">
        <v>569</v>
      </c>
      <c r="H2" s="520" cm="1">
        <f t="array" ref="H2">_xll.BDP(F2&amp;" EQUITY","LAST_PRICE")</f>
        <v>419.44</v>
      </c>
      <c r="I2" s="171">
        <f t="shared" si="1"/>
        <v>-4.193695751484694E-2</v>
      </c>
      <c r="J2" s="503">
        <f>_xll.BDP(F2&amp;" EQUITY","PX_YEST_CLOSE")</f>
        <v>437.8</v>
      </c>
      <c r="K2" s="504" t="s">
        <v>89</v>
      </c>
      <c r="L2" s="538" cm="1">
        <f t="array" ref="L2">_xll.BDP(K2&amp;" EQUITY","LAST_PRICE")</f>
        <v>85.39</v>
      </c>
      <c r="M2" s="32">
        <f t="shared" si="2"/>
        <v>-4.6134941912421734E-2</v>
      </c>
      <c r="N2" s="536">
        <f>_xll.BDP(K2&amp;" EQUITY","PX_YEST_CLOSE")</f>
        <v>89.52</v>
      </c>
      <c r="O2" s="49"/>
      <c r="P2" s="1"/>
      <c r="Q2" t="s">
        <v>2488</v>
      </c>
      <c r="R2" s="5">
        <f>SUM(U35:U39)</f>
        <v>2.6947224139938506E-3</v>
      </c>
      <c r="S2" s="5">
        <f>T2/R2/10000</f>
        <v>6.1093881445152987E-2</v>
      </c>
      <c r="T2" s="270">
        <f>SUM(V35:V39)</f>
        <v>1.6463105168813676</v>
      </c>
      <c r="U2" s="363"/>
      <c r="V2" s="362"/>
      <c r="W2" s="270">
        <f>W5/W6</f>
        <v>0.14230785560470582</v>
      </c>
      <c r="Z2" s="18" t="s">
        <v>1700</v>
      </c>
      <c r="AA2" s="5"/>
      <c r="AB2" s="1" t="str" cm="1">
        <f t="array" ref="AB2">_xll.BDP($A2&amp;" Equity","volatility_30d")</f>
        <v>#N/A Invalid Security</v>
      </c>
      <c r="AC2" s="14" t="str" cm="1">
        <f t="array" ref="AC2">_xll.BDP($A2&amp;" Equity","EQY_BETA")</f>
        <v>#N/A Invalid Security</v>
      </c>
      <c r="AD2" s="1" t="str" cm="1">
        <f t="array" ref="AD2">_xll.BDP($A2&amp;" Equity","EQY_BETA")</f>
        <v>#N/A Invalid Security</v>
      </c>
      <c r="AF2" s="3"/>
      <c r="AG2"/>
      <c r="AH2" s="31"/>
      <c r="AI2"/>
      <c r="AL2" t="s">
        <v>153</v>
      </c>
    </row>
    <row r="3" spans="1:39" ht="15.75" thickBot="1">
      <c r="B3" s="504" t="s">
        <v>96</v>
      </c>
      <c r="C3" s="538" cm="1">
        <f t="array" ref="C3">_xll.BDP(B3&amp;" EQUITY","LAST_PRICE")</f>
        <v>335.75</v>
      </c>
      <c r="D3" s="32">
        <f t="shared" si="0"/>
        <v>-1.6434262948207157E-2</v>
      </c>
      <c r="E3" s="536">
        <f>_xll.BDP(B3&amp;" EQUITY","PX_YEST_CLOSE")</f>
        <v>341.36</v>
      </c>
      <c r="F3" t="s">
        <v>457</v>
      </c>
      <c r="H3" s="520" cm="1">
        <f t="array" ref="H3">_xll.BDP(F3&amp;" EQUITY","LAST_PRICE")</f>
        <v>1395.88</v>
      </c>
      <c r="I3" s="171">
        <f t="shared" si="1"/>
        <v>-3.1573689286036433E-2</v>
      </c>
      <c r="J3" s="503">
        <f>_xll.BDP(F3&amp;" EQUITY","PX_YEST_CLOSE")</f>
        <v>1441.39</v>
      </c>
      <c r="K3" s="504" t="s">
        <v>136</v>
      </c>
      <c r="L3" s="538" cm="1">
        <f t="array" ref="L3">_xll.BDP(K3&amp;" EQUITY","LAST_PRICE")</f>
        <v>397.68</v>
      </c>
      <c r="M3" s="32">
        <f t="shared" si="2"/>
        <v>-2.5222442826678515E-2</v>
      </c>
      <c r="N3" s="536">
        <f>_xll.BDP(K3&amp;" EQUITY","PX_YEST_CLOSE")</f>
        <v>407.97</v>
      </c>
      <c r="O3" s="5"/>
      <c r="P3" s="1">
        <f>S3/$M$6</f>
        <v>0.58911048703998214</v>
      </c>
      <c r="Q3" t="s">
        <v>2489</v>
      </c>
      <c r="R3" s="5">
        <f>R1-R2</f>
        <v>2.0362618621741862E-2</v>
      </c>
      <c r="S3" s="5">
        <f>T3/R3/10000</f>
        <v>-9.0510794476069724E-3</v>
      </c>
      <c r="T3" s="270">
        <f>T1-T2</f>
        <v>-1.8430367890670676</v>
      </c>
      <c r="U3" s="270">
        <f>U5/-U6</f>
        <v>3.095681456177799</v>
      </c>
      <c r="W3" s="44" t="s">
        <v>154</v>
      </c>
      <c r="X3" s="5">
        <f>_xll.BDP("SPY Equity","LAST_PRICE")/_xll.BDP("SPY Equity","PX_YEST_CLOSE")-1</f>
        <v>-8.4554435512862458E-3</v>
      </c>
      <c r="AC3" s="92" cm="1">
        <f t="array" ref="AC3">_xll.BDP("brl Curncy","LAST_PRICE")</f>
        <v>5.2385000000000002</v>
      </c>
      <c r="AD3" s="8">
        <f>AD5*$AC$3</f>
        <v>11765854703.718</v>
      </c>
      <c r="AF3" s="3"/>
      <c r="AG3"/>
      <c r="AH3" s="31"/>
      <c r="AI3"/>
    </row>
    <row r="4" spans="1:39" ht="30.75" thickBot="1">
      <c r="B4" s="504" t="s">
        <v>448</v>
      </c>
      <c r="C4" s="538" cm="1">
        <f t="array" ref="C4">_xll.BDP(B4&amp;" EQUITY","LAST_PRICE")</f>
        <v>242.11</v>
      </c>
      <c r="D4" s="32">
        <f t="shared" si="0"/>
        <v>-1.6892029073780845E-2</v>
      </c>
      <c r="E4" s="536">
        <f>_xll.BDP(B4&amp;" EQUITY","PX_YEST_CLOSE")</f>
        <v>246.27</v>
      </c>
      <c r="F4" t="s">
        <v>2491</v>
      </c>
      <c r="H4" s="520" cm="1">
        <f t="array" ref="H4">_xll.BDP(F4&amp;" EQUITY","LAST_PRICE")</f>
        <v>318.67</v>
      </c>
      <c r="I4" s="171">
        <f t="shared" si="1"/>
        <v>-2.9628501827040132E-2</v>
      </c>
      <c r="J4" s="503">
        <f>_xll.BDP(F4&amp;" EQUITY","PX_YEST_CLOSE")</f>
        <v>328.4</v>
      </c>
      <c r="K4" s="504" t="s">
        <v>0</v>
      </c>
      <c r="L4" s="538" cm="1">
        <f t="array" ref="L4">_xll.BDP(K4&amp;" EQUITY","LAST_PRICE")</f>
        <v>689.53</v>
      </c>
      <c r="M4" s="32">
        <f t="shared" si="2"/>
        <v>-8.4554435512862458E-3</v>
      </c>
      <c r="N4" s="536">
        <f>_xll.BDP(K4&amp;" EQUITY","PX_YEST_CLOSE")</f>
        <v>695.41</v>
      </c>
      <c r="O4" s="11" t="s">
        <v>155</v>
      </c>
      <c r="P4" s="12" t="s">
        <v>156</v>
      </c>
      <c r="Q4" s="25"/>
      <c r="R4" s="11" t="s">
        <v>157</v>
      </c>
      <c r="S4" s="12" t="s">
        <v>158</v>
      </c>
      <c r="T4" s="11"/>
      <c r="U4" s="23" t="s">
        <v>159</v>
      </c>
      <c r="V4" s="24" t="s">
        <v>160</v>
      </c>
      <c r="W4" s="11" t="s">
        <v>161</v>
      </c>
      <c r="X4" s="11" t="s">
        <v>162</v>
      </c>
      <c r="Y4" s="11" t="s">
        <v>163</v>
      </c>
      <c r="Z4" s="11" t="s">
        <v>164</v>
      </c>
      <c r="AA4" s="23" t="s">
        <v>165</v>
      </c>
      <c r="AC4" s="83"/>
      <c r="AD4" s="84" t="s">
        <v>166</v>
      </c>
      <c r="AE4" s="85" t="s">
        <v>1872</v>
      </c>
      <c r="AF4" s="3"/>
      <c r="AG4"/>
      <c r="AH4" s="31"/>
      <c r="AI4"/>
    </row>
    <row r="5" spans="1:39">
      <c r="B5" s="504" t="s">
        <v>399</v>
      </c>
      <c r="C5" s="538" cm="1">
        <f t="array" ref="C5">_xll.BDP(B5&amp;" EQUITY","LAST_PRICE")</f>
        <v>238.62</v>
      </c>
      <c r="D5" s="32">
        <f t="shared" si="0"/>
        <v>-1.7863022719789234E-2</v>
      </c>
      <c r="E5" s="536">
        <f>_xll.BDP(B5&amp;" EQUITY","PX_YEST_CLOSE")</f>
        <v>242.96</v>
      </c>
      <c r="F5" t="s">
        <v>2492</v>
      </c>
      <c r="H5" s="520" cm="1">
        <f t="array" ref="H5">_xll.BDP(F5&amp;" EQUITY","LAST_PRICE")</f>
        <v>1355.54</v>
      </c>
      <c r="I5" s="171">
        <f t="shared" si="1"/>
        <v>-3.8930837675919094E-2</v>
      </c>
      <c r="J5" s="503">
        <f>_xll.BDP(F5&amp;" EQUITY","PX_YEST_CLOSE")</f>
        <v>1410.45</v>
      </c>
      <c r="K5" s="504" t="s">
        <v>3</v>
      </c>
      <c r="L5" s="537" cm="1">
        <f t="array" ref="L5">_xll.BDP(K5&amp;" EQUITY","LAST_PRICE")</f>
        <v>198.57</v>
      </c>
      <c r="M5" s="32">
        <f t="shared" si="2"/>
        <v>-2.6619789050728038E-3</v>
      </c>
      <c r="N5" s="536">
        <f>_xll.BDP(K5&amp;" EQUITY","PX_YEST_CLOSE")</f>
        <v>199.1</v>
      </c>
      <c r="O5" s="26">
        <f>SUMIF(O12:O62,"&gt;0")</f>
        <v>4.378273534410658E-2</v>
      </c>
      <c r="P5" s="19">
        <f>SUMIF($F$12:$F$62,"Long",P12:P62)</f>
        <v>0.38181895204528266</v>
      </c>
      <c r="R5" s="26">
        <f>SUMIF(R12:R62,"&gt;0")</f>
        <v>9.7416321947720267E-3</v>
      </c>
      <c r="S5" s="169">
        <f>SUMIF($F$12:$F$62,"Long",S12:S62)</f>
        <v>-0.7551991148412871</v>
      </c>
      <c r="T5" t="s">
        <v>99</v>
      </c>
      <c r="U5" s="32">
        <f>SUMIF($F$12:$F$62,"Long",U12:U62)</f>
        <v>2.5448167385665892E-2</v>
      </c>
      <c r="V5" s="38">
        <f>SUMIF($F$12:$F$62,"Long",V12:V62)</f>
        <v>-0.37338016279600439</v>
      </c>
      <c r="W5" s="5">
        <f>V5/U5/10000</f>
        <v>-1.4672182760253182E-3</v>
      </c>
      <c r="X5" s="5">
        <f>W5-$X$3</f>
        <v>6.9882252752609276E-3</v>
      </c>
      <c r="Y5" s="54">
        <f>$U5*X5*10000</f>
        <v>1.778375265335812</v>
      </c>
      <c r="Z5" s="9">
        <f>U5*$X$3*10000</f>
        <v>-2.1517554281318163</v>
      </c>
      <c r="AA5" s="32">
        <f>SUMIF($F$12:$F$62,"Long",AA12:AA62)</f>
        <v>3.2737164546559581E-2</v>
      </c>
      <c r="AB5" s="270">
        <f>AA5/U5</f>
        <v>1.2864252286001285</v>
      </c>
      <c r="AC5" s="86" t="s">
        <v>167</v>
      </c>
      <c r="AD5" s="87">
        <v>2246035068</v>
      </c>
      <c r="AE5" s="88">
        <f>AD5</f>
        <v>2246035068</v>
      </c>
      <c r="AF5" s="3"/>
      <c r="AG5"/>
      <c r="AH5" s="31"/>
      <c r="AI5"/>
    </row>
    <row r="6" spans="1:39">
      <c r="B6" s="504" t="s">
        <v>79</v>
      </c>
      <c r="C6" s="538" cm="1">
        <f t="array" ref="C6">_xll.BDP(B6&amp;" EQUITY","LAST_PRICE")</f>
        <v>269.48</v>
      </c>
      <c r="D6" s="32">
        <f t="shared" si="0"/>
        <v>-1.9628902633235246E-3</v>
      </c>
      <c r="E6" s="536">
        <f>_xll.BDP(B6&amp;" EQUITY","PX_YEST_CLOSE")</f>
        <v>270.01</v>
      </c>
      <c r="F6" t="s">
        <v>2493</v>
      </c>
      <c r="H6" s="520" cm="1">
        <f t="array" ref="H6">_xll.BDP(F6&amp;" EQUITY","LAST_PRICE")</f>
        <v>230.1</v>
      </c>
      <c r="I6" s="171">
        <f t="shared" si="1"/>
        <v>-3.1157894736842162E-2</v>
      </c>
      <c r="J6" s="503">
        <f>_xll.BDP(F6&amp;" EQUITY","PX_YEST_CLOSE")</f>
        <v>237.5</v>
      </c>
      <c r="K6" s="504" t="s">
        <v>135</v>
      </c>
      <c r="L6" s="519" cm="1">
        <f t="array" ref="L6">_xll.BDP(K6&amp;" EQUITY","LAST_PRICE")</f>
        <v>616.52</v>
      </c>
      <c r="M6" s="32">
        <f t="shared" si="2"/>
        <v>-1.536397610757978E-2</v>
      </c>
      <c r="N6" s="536">
        <f>_xll.BDP(K6&amp;" EQUITY","PX_YEST_CLOSE")</f>
        <v>626.14</v>
      </c>
      <c r="O6" s="26">
        <f>SUMIF(O12:O62,"&lt;0")</f>
        <v>-3.5541060325022668E-2</v>
      </c>
      <c r="P6" s="19">
        <f>SUMIF($F$12:$F$62,"Short",P12:P62)</f>
        <v>0.34337068063900872</v>
      </c>
      <c r="R6" s="26">
        <f>SUMIF(R12:R62,"&lt;0")</f>
        <v>-7.556779377817372E-4</v>
      </c>
      <c r="S6" s="169">
        <f>SUMIF($F$12:$F$62,"Short",S12:S62)</f>
        <v>0.50418082675344122</v>
      </c>
      <c r="T6" t="s">
        <v>100</v>
      </c>
      <c r="U6" s="32">
        <f>SUMIF($F$12:$F$62,"Short",U12:U62)</f>
        <v>-8.2205381095916893E-3</v>
      </c>
      <c r="V6" s="38">
        <f>SUMIF($F$12:$F$62,"Short",V12:V62)</f>
        <v>0.84755150739244955</v>
      </c>
      <c r="W6" s="5">
        <f>V6/U6/10000</f>
        <v>-1.0310170649334136E-2</v>
      </c>
      <c r="X6" s="5">
        <f>$X$3-W6</f>
        <v>1.8547270980478897E-3</v>
      </c>
      <c r="Y6" s="54">
        <f>-$U6*X6*10000</f>
        <v>0.15246854792395079</v>
      </c>
      <c r="Z6" s="9">
        <f>U6*$X$3*10000</f>
        <v>0.69508295946849874</v>
      </c>
      <c r="AA6" s="32" t="e">
        <f>SUMIF($F$12:$F$62,"Short",AA12:AA62)</f>
        <v>#VALUE!</v>
      </c>
      <c r="AB6" s="270" t="e">
        <f>AA6/U6</f>
        <v>#VALUE!</v>
      </c>
      <c r="AC6" s="86" t="s">
        <v>168</v>
      </c>
      <c r="AD6" s="132">
        <v>150129038</v>
      </c>
      <c r="AE6" s="88">
        <f>AD6</f>
        <v>150129038</v>
      </c>
      <c r="AF6" s="3"/>
      <c r="AG6"/>
      <c r="AH6" s="31"/>
      <c r="AI6"/>
    </row>
    <row r="7" spans="1:39" ht="15.75" thickBot="1">
      <c r="B7" s="504" t="s">
        <v>90</v>
      </c>
      <c r="C7" s="537" cm="1">
        <f t="array" ref="C7">_xll.BDP(B7&amp;" EQUITY","LAST_PRICE")</f>
        <v>411.21</v>
      </c>
      <c r="D7" s="32">
        <f t="shared" si="0"/>
        <v>-2.8721921723315336E-2</v>
      </c>
      <c r="E7" s="536">
        <f>_xll.BDP(B7&amp;" EQUITY","PX_YEST_CLOSE")</f>
        <v>423.37</v>
      </c>
      <c r="F7" t="s">
        <v>2498</v>
      </c>
      <c r="H7" s="520" cm="1">
        <f t="array" ref="H7">_xll.BDP(F7&amp;" EQUITY","LAST_PRICE")</f>
        <v>290.24</v>
      </c>
      <c r="I7" s="171">
        <f t="shared" si="1"/>
        <v>7.4048033156940418E-2</v>
      </c>
      <c r="J7" s="503">
        <f>_xll.BDP(F7&amp;" EQUITY","PX_YEST_CLOSE")</f>
        <v>270.23</v>
      </c>
      <c r="K7" s="504" t="s">
        <v>143</v>
      </c>
      <c r="L7" s="537" cm="1">
        <f t="array" ref="L7">_xll.BDP(K7&amp;" EQUITY","LAST_PRICE")</f>
        <v>102.6</v>
      </c>
      <c r="M7" s="32">
        <f t="shared" si="2"/>
        <v>-1.8557489955997819E-2</v>
      </c>
      <c r="N7" s="536">
        <f>_xll.BDP(K7&amp;" EQUITY","PX_YEST_CLOSE")</f>
        <v>104.54</v>
      </c>
      <c r="O7" s="28">
        <f>O5+O6</f>
        <v>8.2416750190839119E-3</v>
      </c>
      <c r="P7" s="168">
        <f>SUM(P12:P62)</f>
        <v>0.72518963268429149</v>
      </c>
      <c r="Q7" s="27"/>
      <c r="R7" s="28">
        <f>R5+R6</f>
        <v>8.9859542569902893E-3</v>
      </c>
      <c r="S7" s="168">
        <f>SUM(S12:S62)</f>
        <v>-0.25101828808784588</v>
      </c>
      <c r="T7" s="434" t="s">
        <v>2271</v>
      </c>
      <c r="U7" s="338">
        <f>U5+U6</f>
        <v>1.7227629276074203E-2</v>
      </c>
      <c r="V7" s="339">
        <f>V5+V6</f>
        <v>0.47417134459644517</v>
      </c>
      <c r="W7" s="43">
        <f>V7/U7/10000</f>
        <v>2.7523888342255898E-3</v>
      </c>
      <c r="X7" s="43"/>
      <c r="Y7" s="55">
        <f>Y5+Y6</f>
        <v>1.9308438132597627</v>
      </c>
      <c r="Z7" s="46">
        <f>Z5+Z6</f>
        <v>-1.4566724686633177</v>
      </c>
      <c r="AA7" s="33" t="e">
        <f>AA5+AA6</f>
        <v>#VALUE!</v>
      </c>
      <c r="AB7" s="42"/>
      <c r="AC7" s="89" t="s">
        <v>169</v>
      </c>
      <c r="AD7" s="90">
        <f>AD5+AD6</f>
        <v>2396164106</v>
      </c>
      <c r="AE7" s="91">
        <f>AE5+AE6</f>
        <v>2396164106</v>
      </c>
      <c r="AG7"/>
      <c r="AH7" s="31"/>
      <c r="AI7"/>
      <c r="AK7" s="60" t="s">
        <v>170</v>
      </c>
      <c r="AL7" s="61" t="s">
        <v>171</v>
      </c>
      <c r="AM7" s="61" t="s">
        <v>172</v>
      </c>
    </row>
    <row r="8" spans="1:39">
      <c r="B8" s="504" t="s">
        <v>303</v>
      </c>
      <c r="C8" s="519" cm="1">
        <f t="array" ref="C8">_xll.BDP(B8&amp;" EQUITY","LAST_PRICE")</f>
        <v>339.71</v>
      </c>
      <c r="D8" s="32">
        <f t="shared" si="0"/>
        <v>-1.1580203089993968E-2</v>
      </c>
      <c r="E8" s="536">
        <f>_xll.BDP(B8&amp;" EQUITY","PX_YEST_CLOSE")</f>
        <v>343.69</v>
      </c>
      <c r="F8" t="s">
        <v>356</v>
      </c>
      <c r="H8" s="520" cm="1">
        <f t="array" ref="H8">_xll.BDP(F8&amp;" EQUITY","LAST_PRICE")</f>
        <v>444.45</v>
      </c>
      <c r="I8" s="171">
        <f t="shared" si="1"/>
        <v>2.6561958655733964E-2</v>
      </c>
      <c r="J8" s="503">
        <f>_xll.BDP(F8&amp;" EQUITY","PX_YEST_CLOSE")</f>
        <v>432.95</v>
      </c>
      <c r="K8" s="504" t="s">
        <v>144</v>
      </c>
      <c r="L8" s="537" cm="1">
        <f t="array" ref="L8">_xll.BDP(K8&amp;" EQUITY","LAST_PRICE")</f>
        <v>262.77999999999997</v>
      </c>
      <c r="M8" s="32">
        <f t="shared" si="2"/>
        <v>2.2885040811655433E-3</v>
      </c>
      <c r="N8" s="536">
        <f>_xll.BDP(K8&amp;" EQUITY","PX_YEST_CLOSE")</f>
        <v>262.18</v>
      </c>
      <c r="O8" s="29">
        <f>O5-O6</f>
        <v>7.9323795669129255E-2</v>
      </c>
      <c r="P8" s="30"/>
      <c r="Q8" s="6"/>
      <c r="R8" s="29">
        <f>R5-R6</f>
        <v>1.0497310132553764E-2</v>
      </c>
      <c r="S8" s="30"/>
      <c r="T8" s="6" t="s">
        <v>67</v>
      </c>
      <c r="U8" s="34">
        <f>U5-U6</f>
        <v>3.3668705495257578E-2</v>
      </c>
      <c r="V8" s="40"/>
      <c r="AA8" s="34" t="e">
        <f>AA5-AA6</f>
        <v>#VALUE!</v>
      </c>
      <c r="AB8" s="42"/>
      <c r="AD8" s="48">
        <f>AD5/AD7</f>
        <v>0.93734609510923039</v>
      </c>
      <c r="AG8"/>
      <c r="AH8" s="31"/>
      <c r="AI8"/>
      <c r="AK8" s="62">
        <v>2025</v>
      </c>
      <c r="AL8" s="62">
        <v>10</v>
      </c>
      <c r="AM8" s="62">
        <v>16</v>
      </c>
    </row>
    <row r="9" spans="1:39">
      <c r="B9" s="504" t="s">
        <v>81</v>
      </c>
      <c r="C9" s="537" cm="1">
        <f t="array" ref="C9">_xll.BDP(B9&amp;" EQUITY","LAST_PRICE")</f>
        <v>691.7</v>
      </c>
      <c r="D9" s="32">
        <f t="shared" si="0"/>
        <v>-2.082360102490044E-2</v>
      </c>
      <c r="E9" s="536">
        <f>_xll.BDP(B9&amp;" EQUITY","PX_YEST_CLOSE")</f>
        <v>706.41</v>
      </c>
      <c r="F9" s="535"/>
      <c r="G9" s="535"/>
      <c r="I9" s="52"/>
      <c r="K9" s="504" t="s">
        <v>484</v>
      </c>
      <c r="L9" s="537" cm="1">
        <f t="array" ref="L9">_xll.BDP(K9&amp;" EQUITY","LAST_PRICE")</f>
        <v>90.76</v>
      </c>
      <c r="M9" s="32">
        <f t="shared" si="2"/>
        <v>6.5258215962441302E-2</v>
      </c>
      <c r="N9" s="536">
        <f>_xll.BDP(K9&amp;" EQUITY","PX_YEST_CLOSE")</f>
        <v>85.2</v>
      </c>
      <c r="O9" s="29"/>
      <c r="P9" s="45"/>
      <c r="Q9" s="6"/>
      <c r="R9" s="29"/>
      <c r="S9" s="45"/>
      <c r="T9" s="333" t="s">
        <v>2135</v>
      </c>
      <c r="U9" s="334"/>
      <c r="V9" s="335"/>
      <c r="W9" s="122">
        <v>6.7</v>
      </c>
      <c r="X9" s="216">
        <v>0.25</v>
      </c>
      <c r="AD9" s="17"/>
      <c r="AF9" s="3"/>
      <c r="AG9" s="270"/>
      <c r="AH9" s="31"/>
      <c r="AI9"/>
    </row>
    <row r="10" spans="1:39">
      <c r="B10" s="504" t="s">
        <v>1887</v>
      </c>
      <c r="C10" s="537" cm="1">
        <f t="array" ref="C10">_xll.BDP(B10&amp;" EQUITY","LAST_PRICE")</f>
        <v>154.66999999999999</v>
      </c>
      <c r="D10" s="32">
        <f t="shared" si="0"/>
        <v>-3.3674871923028982E-2</v>
      </c>
      <c r="E10" s="536">
        <f>_xll.BDP(B10&amp;" EQUITY","PX_YEST_CLOSE")</f>
        <v>160.06</v>
      </c>
      <c r="F10" s="13"/>
      <c r="G10" s="13"/>
      <c r="I10" s="52"/>
      <c r="K10" s="504" t="s">
        <v>131</v>
      </c>
      <c r="L10" s="537" cm="1">
        <f t="array" ref="L10">_xll.BDP(K10&amp;" EQUITY","LAST_PRICE")</f>
        <v>98.22</v>
      </c>
      <c r="M10" s="32">
        <f t="shared" si="2"/>
        <v>4.2785858371376939E-2</v>
      </c>
      <c r="N10" s="536">
        <f>_xll.BDP(K10&amp;" EQUITY","PX_YEST_CLOSE")</f>
        <v>94.19</v>
      </c>
      <c r="P10" s="49">
        <f>SUM(Tabelad[D1 P&amp;L bps])</f>
        <v>0.72518963268429149</v>
      </c>
      <c r="Q10" s="6"/>
      <c r="S10" s="49">
        <f>SUM(Tabelad[Options P&amp;L bps])</f>
        <v>-0.25101828808784588</v>
      </c>
      <c r="T10" s="336" t="s">
        <v>2272</v>
      </c>
      <c r="U10" s="336">
        <f>U7+U9</f>
        <v>1.7227629276074203E-2</v>
      </c>
      <c r="V10" s="337">
        <f>V7+V9</f>
        <v>0.47417134459644517</v>
      </c>
      <c r="W10" s="16">
        <f>AE7*W9/10000</f>
        <v>1605429.95102</v>
      </c>
      <c r="X10" s="341"/>
      <c r="Y10" s="53">
        <v>0.35</v>
      </c>
      <c r="Z10" s="37" t="e">
        <f>SUM(Tabelad[Beta Adj])</f>
        <v>#VALUE!</v>
      </c>
      <c r="AA10" s="70" t="e">
        <f>AA7-SUM(#REF!)</f>
        <v>#VALUE!</v>
      </c>
      <c r="AD10" s="15">
        <f>SUM(Tabelad[Daily P&amp;L])</f>
        <v>162880.13459589556</v>
      </c>
      <c r="AE10" s="171"/>
      <c r="AF10" s="226" t="str">
        <f>_xll.BDP(B10&amp;" Equity","EXPECTED_REPORT_DT")</f>
        <v>10/03/2026</v>
      </c>
      <c r="AG10" s="171"/>
      <c r="AH10" s="19" t="e">
        <f>SUM(AH12:AH62)+#REF!+#REF!</f>
        <v>#VALUE!</v>
      </c>
      <c r="AI10"/>
    </row>
    <row r="11" spans="1:39" s="10" customFormat="1" ht="36" customHeight="1" thickBot="1">
      <c r="A11" s="379"/>
      <c r="B11" s="56" t="s">
        <v>173</v>
      </c>
      <c r="C11" s="56" t="s">
        <v>1873</v>
      </c>
      <c r="D11" s="56" t="s">
        <v>1874</v>
      </c>
      <c r="E11" s="56" t="s">
        <v>175</v>
      </c>
      <c r="F11" s="56" t="s">
        <v>176</v>
      </c>
      <c r="G11" s="56" t="s">
        <v>177</v>
      </c>
      <c r="H11" s="56" t="s">
        <v>1707</v>
      </c>
      <c r="I11" s="411" t="s">
        <v>178</v>
      </c>
      <c r="J11" s="412" t="s">
        <v>103</v>
      </c>
      <c r="K11" s="425" t="s">
        <v>179</v>
      </c>
      <c r="L11" s="413" t="s">
        <v>180</v>
      </c>
      <c r="M11" s="414" t="s">
        <v>181</v>
      </c>
      <c r="N11" s="413" t="s">
        <v>182</v>
      </c>
      <c r="O11" s="56" t="s">
        <v>155</v>
      </c>
      <c r="P11" s="412" t="s">
        <v>156</v>
      </c>
      <c r="Q11" s="413" t="s">
        <v>183</v>
      </c>
      <c r="R11" s="56" t="s">
        <v>157</v>
      </c>
      <c r="S11" s="412" t="s">
        <v>158</v>
      </c>
      <c r="T11" s="56" t="s">
        <v>63</v>
      </c>
      <c r="U11" s="56" t="s">
        <v>159</v>
      </c>
      <c r="V11" s="412" t="s">
        <v>160</v>
      </c>
      <c r="W11" s="56" t="s">
        <v>184</v>
      </c>
      <c r="X11" s="411" t="s">
        <v>185</v>
      </c>
      <c r="Y11" s="415" t="s">
        <v>186</v>
      </c>
      <c r="Z11" s="56" t="s">
        <v>188</v>
      </c>
      <c r="AA11" s="56" t="s">
        <v>187</v>
      </c>
      <c r="AB11" s="415" t="s">
        <v>1695</v>
      </c>
      <c r="AC11" s="56" t="s">
        <v>1699</v>
      </c>
      <c r="AD11" s="56" t="s">
        <v>1701</v>
      </c>
      <c r="AE11" s="10" t="s">
        <v>189</v>
      </c>
      <c r="AF11" s="10" t="s">
        <v>190</v>
      </c>
      <c r="AG11" s="56" t="s">
        <v>191</v>
      </c>
      <c r="AH11" s="416" t="s">
        <v>192</v>
      </c>
      <c r="AI11" s="56" t="s">
        <v>1804</v>
      </c>
      <c r="AJ11" s="10" t="s">
        <v>193</v>
      </c>
    </row>
    <row r="12" spans="1:39">
      <c r="B12" s="39" t="s">
        <v>461</v>
      </c>
      <c r="C12" t="s">
        <v>1907</v>
      </c>
      <c r="E12" t="s">
        <v>194</v>
      </c>
      <c r="F12" s="21" t="str">
        <f t="shared" ref="F12:F17" si="3">IF(T12&gt;0,"Long","Short")</f>
        <v>Long</v>
      </c>
      <c r="G12" s="15"/>
      <c r="H12" s="432">
        <v>3378</v>
      </c>
      <c r="I12" s="35" cm="1">
        <f t="array" ref="I12">_xll.BDP(B12&amp;" Equity","LAST_PRICE")</f>
        <v>163.65</v>
      </c>
      <c r="J12" s="50">
        <f t="shared" ref="J12:J62" si="4">I12/K12-1</f>
        <v>-2.8148939960805142E-2</v>
      </c>
      <c r="K12" s="424">
        <f>_xll.BDP(B12&amp;" equity","PX_YEST_CLOSE")</f>
        <v>168.39</v>
      </c>
      <c r="L12" s="52">
        <f>_xll.BDP(E12&amp;" Curncy","PX_LAST")</f>
        <v>1</v>
      </c>
      <c r="M12" s="51">
        <v>1</v>
      </c>
      <c r="N12" s="15">
        <f t="shared" ref="N12:N62" si="5">IFERROR(IF(((I12/L12)*H12*M12)&lt;&gt;0,((I12/L12)*H12*M12),0),"-")</f>
        <v>552809.70000000007</v>
      </c>
      <c r="O12" s="351">
        <f>IFERROR(IF(Tabelad[[#This Row],[D1 Exp USD]]&lt;&gt;0,N12/$AE$7,0),"-")</f>
        <v>2.3070611007641896E-4</v>
      </c>
      <c r="P12" s="19">
        <f>IFERROR(IF(Tabelad[[#This Row],[D1 Exp USD]]&lt;&gt;0,((I12-K12)/L12*M12*H12)/$AD$7*10000,0),"-")</f>
        <v>-6.6822301360355718E-2</v>
      </c>
      <c r="Q12" s="15">
        <f>IF(SUM(SUMIFS(Options!$AL$4:$AL$32, Options!$D$4:$D$32, B12), SUMIFS(Options!$AL$4:$AL$32, Options!$D$4:$D$32, B12 &amp; " US"))=0,0,SUM(SUMIFS(Options!$AL$4:$AL$32, Options!$D$4:$D$32, B12), SUMIFS(Options!$AL$4:$AL$32, Options!$D$4:$D$32, B12 &amp; " US")))</f>
        <v>0</v>
      </c>
      <c r="R12" s="18">
        <f t="shared" ref="R12:R17" si="6">Q12/$AE$7</f>
        <v>0</v>
      </c>
      <c r="S12" s="19">
        <f>IF(SUM(SUMIFS(Options!$AK$4:$AK$32, Options!$D$4:$D$32, B12), SUMIFS(Options!$AK$4:$AK$32, Options!$D$4:$D$32, B12 &amp; " US"))=0,0,SUM(SUMIFS(Options!$AK$4:$AK$32, Options!$D$4:$D$32, B12), SUMIFS(Options!AK$4:$AK$32, Options!$D$4:$D$32, B12 &amp; " US")))</f>
        <v>0</v>
      </c>
      <c r="T12" s="13">
        <f t="shared" ref="T12:T62" si="7">N12+Q12</f>
        <v>552809.70000000007</v>
      </c>
      <c r="U12" s="47">
        <f t="shared" ref="U12:U62" si="8">T12/$AE$7</f>
        <v>2.3070611007641896E-4</v>
      </c>
      <c r="V12" s="19">
        <f t="shared" ref="V12:V62" si="9">P12+S12</f>
        <v>-6.6822301360355718E-2</v>
      </c>
      <c r="W12" s="15">
        <f t="shared" ref="W12:W62" si="10">$W$10/(I12/L12*M12)</f>
        <v>9810.1432998472355</v>
      </c>
      <c r="X12" s="18"/>
      <c r="Y12" s="369">
        <f>Tabelad[[#This Row],[Exp %]]*$Y$10*$AD$7/Tabelad[[#This Row],[Price Today]]</f>
        <v>1182.3000000000002</v>
      </c>
      <c r="Z12" s="260">
        <f>Tabelad[[#This Row],[Vol 10d]]/16*Tabelad[[#This Row],[Exp %]]*100</f>
        <v>5.7923170817723427E-2</v>
      </c>
      <c r="AA12" s="18">
        <f>Tabelad[[#This Row],[Exp %]]*Tabelad[[#This Row],[Beta Adj2]]</f>
        <v>1.9819195612059815E-4</v>
      </c>
      <c r="AB12" s="35">
        <f>_xll.BDP($B12&amp;" Equity","volatility_10d")</f>
        <v>40.171052807252991</v>
      </c>
      <c r="AC12" s="35">
        <f>_xll.BDP(B12&amp;" EQUITY","eqy_beta")</f>
        <v>0.85906678438186646</v>
      </c>
      <c r="AD12" s="15">
        <f>Tabelad[[#This Row],[D1 P&amp;L bps]]*$AD$5/10000</f>
        <v>-15008.523217982303</v>
      </c>
      <c r="AE12" s="271"/>
      <c r="AF12" s="226" t="str">
        <f>_xll.BDP(B12&amp;" Equity","EXPECTED_REPORT_DT")</f>
        <v>20/02/2026</v>
      </c>
      <c r="AG12" s="171" t="e">
        <f>_xll.BDP(B12&amp;" Index","CHG_PCT_1D_PRE_FROM_REGULAR")/100</f>
        <v>#VALUE!</v>
      </c>
      <c r="AH12" s="19" t="e">
        <f t="shared" ref="AH12:AH62" si="11">(T12*AG12)/$AD$7*10000</f>
        <v>#VALUE!</v>
      </c>
      <c r="AI12" s="431" t="str">
        <f>_xll.BDP(B12&amp;" Equity","DVD_EX_DT")</f>
        <v>12/06/2025</v>
      </c>
    </row>
    <row r="13" spans="1:39">
      <c r="B13" s="39" t="s">
        <v>2138</v>
      </c>
      <c r="C13" t="s">
        <v>1907</v>
      </c>
      <c r="E13" t="s">
        <v>194</v>
      </c>
      <c r="F13" s="21" t="str">
        <f t="shared" si="3"/>
        <v>Long</v>
      </c>
      <c r="G13" s="15"/>
      <c r="H13" s="432">
        <v>3510</v>
      </c>
      <c r="I13" s="35" cm="1">
        <f t="array" ref="I13">_xll.BDP(B13&amp;" Equity","LAST_PRICE")</f>
        <v>144.86000000000001</v>
      </c>
      <c r="J13" s="50">
        <f t="shared" si="4"/>
        <v>-2.4971393955711019E-2</v>
      </c>
      <c r="K13" s="424">
        <f>_xll.BDP(B13&amp;" equity","PX_YEST_CLOSE")</f>
        <v>148.57</v>
      </c>
      <c r="L13" s="52">
        <f>_xll.BDP(E13&amp;" Curncy","PX_LAST")</f>
        <v>1</v>
      </c>
      <c r="M13" s="51">
        <v>1</v>
      </c>
      <c r="N13" s="15">
        <f t="shared" si="5"/>
        <v>508458.60000000003</v>
      </c>
      <c r="O13" s="351">
        <f>IFERROR(IF(Tabelad[[#This Row],[D1 Exp USD]]&lt;&gt;0,N13/$AE$7,0),"-")</f>
        <v>2.121969020096823E-4</v>
      </c>
      <c r="P13" s="19">
        <f>IFERROR(IF(Tabelad[[#This Row],[D1 Exp USD]]&lt;&gt;0,((I13-K13)/L13*M13*H13)/$AD$7*10000,0),"-")</f>
        <v>-5.4345609999718138E-2</v>
      </c>
      <c r="Q13" s="15">
        <f>IF(SUM(SUMIFS(Options!$AL$4:$AL$32, Options!$D$4:$D$32, B13), SUMIFS(Options!$AL$4:$AL$32, Options!$D$4:$D$32, B13 &amp; " US"))=0,0,SUM(SUMIFS(Options!$AL$4:$AL$32, Options!$D$4:$D$32, B13), SUMIFS(Options!$AL$4:$AL$32, Options!$D$4:$D$32, B13 &amp; " US")))</f>
        <v>0</v>
      </c>
      <c r="R13" s="18">
        <f t="shared" si="6"/>
        <v>0</v>
      </c>
      <c r="S13" s="19">
        <f>IF(SUM(SUMIFS(Options!$AK$4:$AK$32, Options!$D$4:$D$32, B13), SUMIFS(Options!$AK$4:$AK$32, Options!$D$4:$D$32, B13 &amp; " US"))=0,0,SUM(SUMIFS(Options!$AK$4:$AK$32, Options!$D$4:$D$32, B13), SUMIFS(Options!AK$4:$AK$32, Options!$D$4:$D$32, B13 &amp; " US")))</f>
        <v>0</v>
      </c>
      <c r="T13" s="13">
        <f t="shared" si="7"/>
        <v>508458.60000000003</v>
      </c>
      <c r="U13" s="47">
        <f t="shared" si="8"/>
        <v>2.121969020096823E-4</v>
      </c>
      <c r="V13" s="19">
        <f t="shared" si="9"/>
        <v>-5.4345609999718138E-2</v>
      </c>
      <c r="W13" s="15">
        <f t="shared" si="10"/>
        <v>11082.631168162363</v>
      </c>
      <c r="X13" s="18"/>
      <c r="Y13" s="369">
        <f>Tabelad[[#This Row],[Exp %]]*$Y$10*$AD$7/Tabelad[[#This Row],[Price Today]]</f>
        <v>1228.5</v>
      </c>
      <c r="Z13" s="260">
        <f>Tabelad[[#This Row],[Vol 10d]]/16*Tabelad[[#This Row],[Exp %]]*100</f>
        <v>3.5496678580455687E-2</v>
      </c>
      <c r="AA13" s="18">
        <f>Tabelad[[#This Row],[Exp %]]*Tabelad[[#This Row],[Beta Adj2]]</f>
        <v>2.1951225713010087E-4</v>
      </c>
      <c r="AB13" s="35">
        <f>_xll.BDP($B13&amp;" Equity","volatility_10d")</f>
        <v>26.765087138801686</v>
      </c>
      <c r="AC13" s="35">
        <f>_xll.BDP(B13&amp;" EQUITY","eqy_beta")</f>
        <v>1.0344743728637695</v>
      </c>
      <c r="AD13" s="15">
        <f>Tabelad[[#This Row],[D1 P&amp;L bps]]*$AD$5/10000</f>
        <v>-12206.214585121841</v>
      </c>
      <c r="AE13" s="271"/>
      <c r="AF13" s="226" t="str">
        <f>_xll.BDP(B13&amp;" Equity","EXPECTED_REPORT_DT")</f>
        <v>26/02/2026</v>
      </c>
      <c r="AG13" s="171" t="e">
        <f>_xll.BDP(B13&amp;" Index","CHG_PCT_1D_PRE_FROM_REGULAR")/100</f>
        <v>#VALUE!</v>
      </c>
      <c r="AH13" s="19" t="e">
        <f t="shared" si="11"/>
        <v>#VALUE!</v>
      </c>
      <c r="AI13" s="431" t="str">
        <f>_xll.BDP(B13&amp;" Equity","DVD_EX_DT")</f>
        <v>#N/A Field Not Applicable</v>
      </c>
    </row>
    <row r="14" spans="1:39" ht="15.75" thickBot="1">
      <c r="B14" s="39" t="s">
        <v>38</v>
      </c>
      <c r="C14" t="s">
        <v>1907</v>
      </c>
      <c r="E14" t="s">
        <v>194</v>
      </c>
      <c r="F14" s="21" t="str">
        <f t="shared" si="3"/>
        <v>Long</v>
      </c>
      <c r="G14" s="15"/>
      <c r="H14" s="432">
        <v>21000</v>
      </c>
      <c r="I14" s="35" cm="1">
        <f t="array" ref="I14">_xll.BDP(B14&amp;" Equity","LAST_PRICE")</f>
        <v>33.24</v>
      </c>
      <c r="J14" s="50">
        <f t="shared" si="4"/>
        <v>4.8367593712212997E-3</v>
      </c>
      <c r="K14" s="424">
        <f>_xll.BDP(B14&amp;" equity","PX_YEST_CLOSE")</f>
        <v>33.08</v>
      </c>
      <c r="L14" s="52">
        <f>_xll.BDP(E14&amp;" Curncy","PX_LAST")</f>
        <v>1</v>
      </c>
      <c r="M14" s="51">
        <v>1</v>
      </c>
      <c r="N14" s="15">
        <f t="shared" si="5"/>
        <v>698040</v>
      </c>
      <c r="O14" s="351">
        <f>IFERROR(IF(Tabelad[[#This Row],[D1 Exp USD]]&lt;&gt;0,N14/$AE$7,0),"-")</f>
        <v>2.9131560657807466E-4</v>
      </c>
      <c r="P14" s="19">
        <f>IFERROR(IF(Tabelad[[#This Row],[D1 Exp USD]]&lt;&gt;0,((I14-K14)/L14*M14*H14)/$AD$7*10000,0),"-")</f>
        <v>1.4022411868981054E-2</v>
      </c>
      <c r="Q14" s="15">
        <f>IF(SUM(SUMIFS(Options!$AL$4:$AL$32, Options!$D$4:$D$32, B14), SUMIFS(Options!$AL$4:$AL$32, Options!$D$4:$D$32, B14 &amp; " US"))=0,0,SUM(SUMIFS(Options!$AL$4:$AL$32, Options!$D$4:$D$32, B14), SUMIFS(Options!$AL$4:$AL$32, Options!$D$4:$D$32, B14 &amp; " US")))</f>
        <v>567941.09165668488</v>
      </c>
      <c r="R14" s="18">
        <f t="shared" si="6"/>
        <v>2.370209495395408E-4</v>
      </c>
      <c r="S14" s="19">
        <f>IF(SUM(SUMIFS(Options!$AK$4:$AK$32, Options!$D$4:$D$32, B14), SUMIFS(Options!$AK$4:$AK$32, Options!$D$4:$D$32, B14 &amp; " US"))=0,0,SUM(SUMIFS(Options!$AK$4:$AK$32, Options!$D$4:$D$32, B14), SUMIFS(Options!AK$4:$AK$32, Options!$D$4:$D$32, B14 &amp; " US")))</f>
        <v>2.2679576911389481E-2</v>
      </c>
      <c r="T14" s="13">
        <f t="shared" si="7"/>
        <v>1265981.0916566849</v>
      </c>
      <c r="U14" s="47">
        <f t="shared" si="8"/>
        <v>5.2833655611761541E-4</v>
      </c>
      <c r="V14" s="19">
        <f t="shared" si="9"/>
        <v>3.6701988780370537E-2</v>
      </c>
      <c r="W14" s="15">
        <f t="shared" si="10"/>
        <v>48298.13330385078</v>
      </c>
      <c r="X14" s="18"/>
      <c r="Y14" s="369">
        <f>Tabelad[[#This Row],[Exp %]]*$Y$10*$AD$7/Tabelad[[#This Row],[Price Today]]</f>
        <v>13330.125814676283</v>
      </c>
      <c r="Z14" s="260">
        <f>Tabelad[[#This Row],[Vol 10d]]/16*Tabelad[[#This Row],[Exp %]]*100</f>
        <v>4.0490719011735121E-2</v>
      </c>
      <c r="AA14" s="18">
        <f>Tabelad[[#This Row],[Exp %]]*Tabelad[[#This Row],[Beta Adj2]]</f>
        <v>6.0434776752671989E-4</v>
      </c>
      <c r="AB14" s="35">
        <f>_xll.BDP($B14&amp;" Equity","volatility_10d")</f>
        <v>12.262098783176773</v>
      </c>
      <c r="AC14" s="35">
        <f>_xll.BDP(B14&amp;" EQUITY","eqy_beta")</f>
        <v>1.1438689231872559</v>
      </c>
      <c r="AD14" s="15">
        <f>Tabelad[[#This Row],[D1 P&amp;L bps]]*$AD$5/10000</f>
        <v>3149.4828795670869</v>
      </c>
      <c r="AE14" s="271"/>
      <c r="AF14" s="226" t="str">
        <f>_xll.BDP(B14&amp;" Equity","EXPECTED_REPORT_DT")</f>
        <v>#N/A N/A</v>
      </c>
      <c r="AG14" s="171">
        <f>_xll.BDP(B14&amp;" Index","CHG_PCT_1D_PRE_FROM_REGULAR")/100</f>
        <v>6.3482190000000004E-3</v>
      </c>
      <c r="AH14" s="19">
        <f t="shared" si="11"/>
        <v>3.3539961639404127E-2</v>
      </c>
      <c r="AI14" s="431" t="str">
        <f>_xll.BDP(B14&amp;" Equity","DVD_EX_DT")</f>
        <v>19/12/2025</v>
      </c>
    </row>
    <row r="15" spans="1:39" s="58" customFormat="1">
      <c r="A15" s="467"/>
      <c r="B15" s="417" t="s">
        <v>2451</v>
      </c>
      <c r="C15" s="58" t="s">
        <v>78</v>
      </c>
      <c r="E15" s="58" t="s">
        <v>194</v>
      </c>
      <c r="F15" s="162" t="str">
        <f t="shared" si="3"/>
        <v>Short</v>
      </c>
      <c r="G15" s="480"/>
      <c r="H15" s="468"/>
      <c r="I15" s="14" cm="1">
        <f t="array" ref="I15">_xll.BDP(B15&amp;" Equity","LAST_PRICE")</f>
        <v>25418.5</v>
      </c>
      <c r="J15" s="469">
        <f t="shared" si="4"/>
        <v>-1.6692456479690532E-2</v>
      </c>
      <c r="K15" s="424">
        <f>_xll.BDP(B15&amp;" equity","PX_YEST_CLOSE")</f>
        <v>25850</v>
      </c>
      <c r="L15" s="8">
        <f>_xll.BDP(E15&amp;" Curncy","PX_LAST")</f>
        <v>1</v>
      </c>
      <c r="M15" s="470">
        <v>20</v>
      </c>
      <c r="N15" s="398">
        <f t="shared" si="5"/>
        <v>0</v>
      </c>
      <c r="O15" s="471">
        <f>IFERROR(IF(Tabelad[[#This Row],[D1 Exp USD]]&lt;&gt;0,N15/$AE$7,0),"-")</f>
        <v>0</v>
      </c>
      <c r="P15" s="472">
        <f>IFERROR(IF(Tabelad[[#This Row],[D1 Exp USD]]&lt;&gt;0,((I15-K15)/L15*M15*H15)/$AD$7*10000,0),"-")</f>
        <v>0</v>
      </c>
      <c r="Q15" s="398">
        <f>IF(SUM(SUMIFS(Options!$AL$4:$AL$32, Options!$D$4:$D$32, B15), SUMIFS(Options!$AL$4:$AL$32, Options!$D$4:$D$32, B15 &amp; " US"))=0,0,SUM(SUMIFS(Options!$AL$4:$AL$32, Options!$D$4:$D$32, B15), SUMIFS(Options!$AL$4:$AL$32, Options!$D$4:$D$32, B15 &amp; " US")))</f>
        <v>0</v>
      </c>
      <c r="R15" s="127">
        <f t="shared" si="6"/>
        <v>0</v>
      </c>
      <c r="S15" s="472">
        <f>IF(SUM(SUMIFS(Options!$AK$4:$AK$32, Options!$D$4:$D$32, B15), SUMIFS(Options!$AK$4:$AK$32, Options!$D$4:$D$32, B15 &amp; " US"))=0,0,SUM(SUMIFS(Options!$AK$4:$AK$32, Options!$D$4:$D$32, B15), SUMIFS(Options!AK$4:$AK$32, Options!$D$4:$D$32, B15 &amp; " US")))</f>
        <v>0.2612508877970815</v>
      </c>
      <c r="T15" s="473">
        <f t="shared" si="7"/>
        <v>0</v>
      </c>
      <c r="U15" s="474">
        <f t="shared" si="8"/>
        <v>0</v>
      </c>
      <c r="V15" s="525">
        <f t="shared" si="9"/>
        <v>0.2612508877970815</v>
      </c>
      <c r="W15" s="514">
        <f t="shared" si="10"/>
        <v>3.1579950646576314</v>
      </c>
      <c r="X15" s="481"/>
      <c r="Y15" s="475">
        <f>Tabelad[[#This Row],[Exp %]]*$Y$10*$AD$7/Tabelad[[#This Row],[Price Today]]</f>
        <v>0</v>
      </c>
      <c r="Z15" s="476">
        <f>Tabelad[[#This Row],[Vol 10d]]/16*Tabelad[[#This Row],[Exp %]]*100</f>
        <v>0</v>
      </c>
      <c r="AA15" s="127" t="e">
        <f>Tabelad[[#This Row],[Exp %]]*Tabelad[[#This Row],[Beta Adj2]]</f>
        <v>#VALUE!</v>
      </c>
      <c r="AB15" s="14">
        <f>_xll.BDP($B15&amp;" Equity","volatility_10d")</f>
        <v>15.064205169677734</v>
      </c>
      <c r="AC15" s="14" t="str">
        <f>_xll.BDP(B15&amp;" EQUITY","eqy_beta")</f>
        <v>#N/A Field Not Applicable</v>
      </c>
      <c r="AD15" s="398">
        <f>Tabelad[[#This Row],[D1 P&amp;L bps]]*$AD$5/10000</f>
        <v>0</v>
      </c>
      <c r="AE15" s="482"/>
      <c r="AF15" s="477" t="str">
        <f>_xll.BDP(B15&amp;" Equity","EXPECTED_REPORT_DT")</f>
        <v>#N/A Field Not Applicable</v>
      </c>
      <c r="AG15" s="478" t="e">
        <f>_xll.BDP(B15&amp;" Index","CHG_PCT_1D_PRE_FROM_REGULAR")/100</f>
        <v>#VALUE!</v>
      </c>
      <c r="AH15" s="472" t="e">
        <f t="shared" si="11"/>
        <v>#VALUE!</v>
      </c>
      <c r="AI15" s="479" t="str">
        <f>_xll.BDP(B15&amp;" Equity","DVD_EX_DT")</f>
        <v>#N/A Field Not Applicable</v>
      </c>
    </row>
    <row r="16" spans="1:39" s="378" customFormat="1">
      <c r="A16" s="513"/>
      <c r="B16" s="523" t="s">
        <v>2486</v>
      </c>
      <c r="C16" s="378" t="s">
        <v>78</v>
      </c>
      <c r="E16" s="378" t="s">
        <v>194</v>
      </c>
      <c r="F16" s="522" t="str">
        <f t="shared" si="3"/>
        <v>Short</v>
      </c>
      <c r="G16" s="517"/>
      <c r="H16" s="511"/>
      <c r="I16" s="122" cm="1">
        <f t="array" ref="I16">_xll.BDP(B16&amp;" Equity","LAST_PRICE")</f>
        <v>25417.25</v>
      </c>
      <c r="J16" s="545">
        <f t="shared" si="4"/>
        <v>-1.6740812379110293E-2</v>
      </c>
      <c r="K16" s="510">
        <f>_xll.BDP(B16&amp;" equity","PX_YEST_CLOSE")</f>
        <v>25850</v>
      </c>
      <c r="L16" s="216">
        <f>_xll.BDP(E16&amp;" Curncy","PX_LAST")</f>
        <v>1</v>
      </c>
      <c r="M16" s="499">
        <v>20</v>
      </c>
      <c r="N16" s="512">
        <f t="shared" si="5"/>
        <v>0</v>
      </c>
      <c r="O16" s="509">
        <f>IFERROR(IF(Tabelad[[#This Row],[D1 Exp USD]]&lt;&gt;0,N16/$AE$7,0),"-")</f>
        <v>0</v>
      </c>
      <c r="P16" s="508">
        <f>IFERROR(IF(Tabelad[[#This Row],[D1 Exp USD]]&lt;&gt;0,((I16-K16)/L16*M16*H16)/$AD$7*10000,0),"-")</f>
        <v>0</v>
      </c>
      <c r="Q16" s="512">
        <f>IF(SUM(SUMIFS(Options!$AL$4:$AL$32, Options!$D$4:$D$32, B16), SUMIFS(Options!$AL$4:$AL$32, Options!$D$4:$D$32, B16 &amp; " US"))=0,0,SUM(SUMIFS(Options!$AL$4:$AL$32, Options!$D$4:$D$32, B16), SUMIFS(Options!$AL$4:$AL$32, Options!$D$4:$D$32, B16 &amp; " US")))</f>
        <v>-845715.26761353016</v>
      </c>
      <c r="R16" s="406">
        <f t="shared" si="6"/>
        <v>-3.5294547042744582E-4</v>
      </c>
      <c r="S16" s="508">
        <f>IF(SUM(SUMIFS(Options!$AK$4:$AK$32, Options!$D$4:$D$32, B16), SUMIFS(Options!$AK$4:$AK$32, Options!$D$4:$D$32, B16 &amp; " US"))=0,0,SUM(SUMIFS(Options!$AK$4:$AK$32, Options!$D$4:$D$32, B16), SUMIFS(Options!AK$4:$AK$32, Options!$D$4:$D$32, B16 &amp; " US")))</f>
        <v>6.6773389852289186E-2</v>
      </c>
      <c r="T16" s="507">
        <f t="shared" si="7"/>
        <v>-845715.26761353016</v>
      </c>
      <c r="U16" s="363">
        <f t="shared" si="8"/>
        <v>-3.5294547042744582E-4</v>
      </c>
      <c r="V16" s="516">
        <f t="shared" si="9"/>
        <v>6.6773389852289186E-2</v>
      </c>
      <c r="W16" s="502">
        <f t="shared" si="10"/>
        <v>3.1581503723258812</v>
      </c>
      <c r="X16" s="518"/>
      <c r="Y16" s="500">
        <f>Tabelad[[#This Row],[Exp %]]*$Y$10*$AD$7/Tabelad[[#This Row],[Price Today]]</f>
        <v>-11.645647883415222</v>
      </c>
      <c r="Z16" s="506">
        <f>Tabelad[[#This Row],[Vol 10d]]/16*Tabelad[[#This Row],[Exp %]]*100</f>
        <v>-3.3230268626421679E-2</v>
      </c>
      <c r="AA16" s="406" t="e">
        <f>Tabelad[[#This Row],[Exp %]]*Tabelad[[#This Row],[Beta Adj2]]</f>
        <v>#VALUE!</v>
      </c>
      <c r="AB16" s="122">
        <f>_xll.BDP($B16&amp;" Equity","volatility_10d")</f>
        <v>15.064205169677734</v>
      </c>
      <c r="AC16" s="122" t="str">
        <f>_xll.BDP(B16&amp;" EQUITY","eqy_beta")</f>
        <v>#N/A Field Not Applicable</v>
      </c>
      <c r="AD16" s="512">
        <f>Tabelad[[#This Row],[D1 P&amp;L bps]]*$AD$5/10000</f>
        <v>0</v>
      </c>
      <c r="AE16" s="501"/>
      <c r="AF16" s="528" t="str">
        <f>_xll.BDP(B16&amp;" Equity","EXPECTED_REPORT_DT")</f>
        <v>#N/A Field Not Applicable</v>
      </c>
      <c r="AG16" s="526" t="e">
        <f>_xll.BDP(B16&amp;" Index","CHG_PCT_1D_PRE_FROM_REGULAR")/100</f>
        <v>#VALUE!</v>
      </c>
      <c r="AH16" s="508" t="e">
        <f t="shared" si="11"/>
        <v>#VALUE!</v>
      </c>
      <c r="AI16" s="527" t="str">
        <f>_xll.BDP(B16&amp;" Equity","DVD_EX_DT")</f>
        <v>#N/A Field Not Applicable</v>
      </c>
    </row>
    <row r="17" spans="1:35" s="378" customFormat="1">
      <c r="A17" s="513" t="s">
        <v>1770</v>
      </c>
      <c r="B17" s="523" t="s">
        <v>1908</v>
      </c>
      <c r="C17" s="378" t="s">
        <v>78</v>
      </c>
      <c r="E17" s="378" t="s">
        <v>194</v>
      </c>
      <c r="F17" s="522" t="s">
        <v>100</v>
      </c>
      <c r="G17" s="517"/>
      <c r="H17" s="511">
        <v>35</v>
      </c>
      <c r="I17" s="122" cm="1">
        <f t="array" ref="I17">_xll.BDP(B17&amp;" INDEX","LAST_PRICE")</f>
        <v>25418.5</v>
      </c>
      <c r="J17" s="545">
        <f t="shared" si="4"/>
        <v>3.1770463335700772E-3</v>
      </c>
      <c r="K17" s="510">
        <v>25338</v>
      </c>
      <c r="L17" s="216">
        <f>_xll.BDP(E17&amp;" Curncy","PX_LAST")</f>
        <v>1</v>
      </c>
      <c r="M17" s="499">
        <v>20</v>
      </c>
      <c r="N17" s="512">
        <f t="shared" si="5"/>
        <v>17792950</v>
      </c>
      <c r="O17" s="509">
        <f>IFERROR(IF(Tabelad[[#This Row],[D1 Exp USD]]&lt;&gt;0,N17/$AE$7,0),"-")</f>
        <v>7.425597418576806E-3</v>
      </c>
      <c r="P17" s="508">
        <f>IFERROR(IF(Tabelad[[#This Row],[D1 Exp USD]]&lt;&gt;0,((I17-K17)/L17*M17*H17)/$AD$7*10000,0),"-")</f>
        <v>0.235167532386031</v>
      </c>
      <c r="Q17" s="512">
        <f>IF(SUM(SUMIFS(Options!$AL$4:$AL$32, Options!$D$4:$D$32, B17), SUMIFS(Options!$AL$4:$AL$32, Options!$D$4:$D$32, B17 &amp; " US"))=0,0,SUM(SUMIFS(Options!$AL$4:$AL$32, Options!$D$4:$D$32, B17), SUMIFS(Options!$AL$4:$AL$32, Options!$D$4:$D$32, B17 &amp; " US")))</f>
        <v>0</v>
      </c>
      <c r="R17" s="406">
        <f t="shared" si="6"/>
        <v>0</v>
      </c>
      <c r="S17" s="508">
        <f>IF(SUM(SUMIFS(Options!$AK$4:$AK$32, Options!$D$4:$D$32, B17), SUMIFS(Options!$AK$4:$AK$32, Options!$D$4:$D$32, B17 &amp; " US"))=0,0,SUM(SUMIFS(Options!$AK$4:$AK$32, Options!$D$4:$D$32, B17), SUMIFS(Options!AK$4:$AK$32, Options!$D$4:$D$32, B17 &amp; " US")))</f>
        <v>0</v>
      </c>
      <c r="T17" s="507">
        <f t="shared" si="7"/>
        <v>17792950</v>
      </c>
      <c r="U17" s="363">
        <f t="shared" si="8"/>
        <v>7.425597418576806E-3</v>
      </c>
      <c r="V17" s="516">
        <f t="shared" si="9"/>
        <v>0.235167532386031</v>
      </c>
      <c r="W17" s="502">
        <f t="shared" si="10"/>
        <v>3.1579950646576314</v>
      </c>
      <c r="X17" s="518"/>
      <c r="Y17" s="500">
        <f>Tabelad[[#This Row],[Exp %]]*$Y$10*$AD$7/Tabelad[[#This Row],[Price Today]]</f>
        <v>245</v>
      </c>
      <c r="Z17" s="506" t="e">
        <f>Tabelad[[#This Row],[Vol 10d]]/16*Tabelad[[#This Row],[Exp %]]*100</f>
        <v>#VALUE!</v>
      </c>
      <c r="AA17" s="406" t="e">
        <f>Tabelad[[#This Row],[Exp %]]*Tabelad[[#This Row],[Beta Adj2]]</f>
        <v>#VALUE!</v>
      </c>
      <c r="AB17" s="122" t="str">
        <f>_xll.BDP($B17&amp;" Equity","volatility_10d")</f>
        <v>#N/A Invalid Security</v>
      </c>
      <c r="AC17" s="122" t="str">
        <f>_xll.BDP(B17&amp;" INDEX","eqy_beta")</f>
        <v>#N/A Field Not Applicable</v>
      </c>
      <c r="AD17" s="512">
        <f>Tabelad[[#This Row],[D1 P&amp;L bps]]*$AD$5/10000</f>
        <v>52819.452459405133</v>
      </c>
      <c r="AE17" s="501"/>
      <c r="AF17" s="528" t="str">
        <f>_xll.BDP(B17&amp;" Equity","EXPECTED_REPORT_DT")</f>
        <v>#N/A Invalid Security</v>
      </c>
      <c r="AG17" s="526" t="e">
        <f>_xll.BDP(B17&amp;" Index","CHG_PCT_1D_PRE_FROM_REGULAR")/100</f>
        <v>#VALUE!</v>
      </c>
      <c r="AH17" s="508" t="e">
        <f t="shared" si="11"/>
        <v>#VALUE!</v>
      </c>
      <c r="AI17" s="527" t="str">
        <f>_xll.BDP(B17&amp;" Equity","DVD_EX_DT")</f>
        <v>#N/A Invalid Security</v>
      </c>
    </row>
    <row r="18" spans="1:35" s="378" customFormat="1">
      <c r="A18" s="513" t="s">
        <v>1770</v>
      </c>
      <c r="B18" s="523" t="s">
        <v>1908</v>
      </c>
      <c r="C18" s="378" t="s">
        <v>78</v>
      </c>
      <c r="E18" s="378" t="s">
        <v>194</v>
      </c>
      <c r="F18" s="522" t="str">
        <f t="shared" ref="F18" si="12">IF(T18&gt;0,"Long","Short")</f>
        <v>Short</v>
      </c>
      <c r="G18" s="517"/>
      <c r="H18" s="511">
        <v>-65</v>
      </c>
      <c r="I18" s="122" cm="1">
        <f t="array" ref="I18">_xll.BDP(B18&amp;" INDEX","LAST_PRICE")</f>
        <v>25418.5</v>
      </c>
      <c r="J18" s="545">
        <f t="shared" ref="J18" si="13">I18/K18-1</f>
        <v>3.345139708776923E-4</v>
      </c>
      <c r="K18" s="510">
        <v>25410</v>
      </c>
      <c r="L18" s="216">
        <f>_xll.BDP(E18&amp;" Curncy","PX_LAST")</f>
        <v>1</v>
      </c>
      <c r="M18" s="499">
        <v>20</v>
      </c>
      <c r="N18" s="512">
        <f t="shared" ref="N18" si="14">IFERROR(IF(((I18/L18)*H18*M18)&lt;&gt;0,((I18/L18)*H18*M18),0),"-")</f>
        <v>-33044050</v>
      </c>
      <c r="O18" s="509">
        <f>IFERROR(IF(Tabelad[[#This Row],[D1 Exp USD]]&lt;&gt;0,N18/$AE$7,0),"-")</f>
        <v>-1.3790395205928355E-2</v>
      </c>
      <c r="P18" s="508">
        <f>IFERROR(IF(Tabelad[[#This Row],[D1 Exp USD]]&lt;&gt;0,((I18-K18)/L18*M18*H18)/$AD$7*10000,0),"-")</f>
        <v>-4.6115372366737219E-2</v>
      </c>
      <c r="Q18" s="512">
        <f>IF(SUM(SUMIFS(Options!$AL$4:$AL$32, Options!$D$4:$D$32, B18), SUMIFS(Options!$AL$4:$AL$32, Options!$D$4:$D$32, B18 &amp; " US"))=0,0,SUM(SUMIFS(Options!$AL$4:$AL$32, Options!$D$4:$D$32, B18), SUMIFS(Options!$AL$4:$AL$32, Options!$D$4:$D$32, B18 &amp; " US")))</f>
        <v>0</v>
      </c>
      <c r="R18" s="406">
        <f t="shared" ref="R18" si="15">Q18/$AE$7</f>
        <v>0</v>
      </c>
      <c r="S18" s="508">
        <f>IF(SUM(SUMIFS(Options!$AK$4:$AK$32, Options!$D$4:$D$32, B18), SUMIFS(Options!$AK$4:$AK$32, Options!$D$4:$D$32, B18 &amp; " US"))=0,0,SUM(SUMIFS(Options!$AK$4:$AK$32, Options!$D$4:$D$32, B18), SUMIFS(Options!AK$4:$AK$32, Options!$D$4:$D$32, B18 &amp; " US")))</f>
        <v>0</v>
      </c>
      <c r="T18" s="507">
        <f t="shared" ref="T18" si="16">N18+Q18</f>
        <v>-33044050</v>
      </c>
      <c r="U18" s="363">
        <f t="shared" ref="U18" si="17">T18/$AE$7</f>
        <v>-1.3790395205928355E-2</v>
      </c>
      <c r="V18" s="516">
        <f t="shared" ref="V18" si="18">P18+S18</f>
        <v>-4.6115372366737219E-2</v>
      </c>
      <c r="W18" s="502">
        <f t="shared" ref="W18" si="19">$W$10/(I18/L18*M18)</f>
        <v>3.1579950646576314</v>
      </c>
      <c r="X18" s="518"/>
      <c r="Y18" s="500">
        <f>Tabelad[[#This Row],[Exp %]]*$Y$10*$AD$7/Tabelad[[#This Row],[Price Today]]</f>
        <v>-454.99999999999994</v>
      </c>
      <c r="Z18" s="506" t="e">
        <f>Tabelad[[#This Row],[Vol 10d]]/16*Tabelad[[#This Row],[Exp %]]*100</f>
        <v>#VALUE!</v>
      </c>
      <c r="AA18" s="406" t="e">
        <f>Tabelad[[#This Row],[Exp %]]*Tabelad[[#This Row],[Beta Adj2]]</f>
        <v>#VALUE!</v>
      </c>
      <c r="AB18" s="122" t="str">
        <f>_xll.BDP($B18&amp;" Equity","volatility_10d")</f>
        <v>#N/A Invalid Security</v>
      </c>
      <c r="AC18" s="122" t="str">
        <f>_xll.BDP(B18&amp;" INDEX","eqy_beta")</f>
        <v>#N/A Field Not Applicable</v>
      </c>
      <c r="AD18" s="512">
        <f>Tabelad[[#This Row],[D1 P&amp;L bps]]*$AD$5/10000</f>
        <v>-10357.674350956995</v>
      </c>
      <c r="AE18" s="501"/>
      <c r="AF18" s="528" t="str">
        <f>_xll.BDP(B18&amp;" Equity","EXPECTED_REPORT_DT")</f>
        <v>#N/A Invalid Security</v>
      </c>
      <c r="AG18" s="526" t="e">
        <f>_xll.BDP(B18&amp;" Index","CHG_PCT_1D_PRE_FROM_REGULAR")/100</f>
        <v>#VALUE!</v>
      </c>
      <c r="AH18" s="508" t="e">
        <f t="shared" ref="AH18" si="20">(T18*AG18)/$AD$7*10000</f>
        <v>#VALUE!</v>
      </c>
      <c r="AI18" s="527" t="str">
        <f>_xll.BDP(B18&amp;" Equity","DVD_EX_DT")</f>
        <v>#N/A Invalid Security</v>
      </c>
    </row>
    <row r="19" spans="1:35" s="378" customFormat="1">
      <c r="A19" s="513" t="s">
        <v>1770</v>
      </c>
      <c r="B19" s="523" t="s">
        <v>3</v>
      </c>
      <c r="C19" s="378" t="s">
        <v>78</v>
      </c>
      <c r="E19" s="378" t="s">
        <v>194</v>
      </c>
      <c r="F19" s="522" t="s">
        <v>100</v>
      </c>
      <c r="G19" s="512"/>
      <c r="H19" s="511">
        <v>80000</v>
      </c>
      <c r="I19" s="122" cm="1">
        <f t="array" ref="I19">_xll.BDP(B19&amp;" Equity","LAST_PRICE")</f>
        <v>198.57</v>
      </c>
      <c r="J19" s="545">
        <f t="shared" si="4"/>
        <v>3.1827826614125865E-3</v>
      </c>
      <c r="K19" s="510">
        <v>197.94</v>
      </c>
      <c r="L19" s="216">
        <f>_xll.BDP(E19&amp;" Curncy","PX_LAST")</f>
        <v>1</v>
      </c>
      <c r="M19" s="499">
        <v>1</v>
      </c>
      <c r="N19" s="512">
        <f t="shared" si="5"/>
        <v>15885600</v>
      </c>
      <c r="O19" s="509">
        <f>IFERROR(IF(Tabelad[[#This Row],[D1 Exp USD]]&lt;&gt;0,N19/$AE$7,0),"-")</f>
        <v>6.6295960114845327E-3</v>
      </c>
      <c r="P19" s="508">
        <f>IFERROR(IF(Tabelad[[#This Row],[D1 Exp USD]]&lt;&gt;0,((I19-K19)/L19*M19*H19)/$AD$7*10000,0),"-")</f>
        <v>0.21033617803470941</v>
      </c>
      <c r="Q19" s="512"/>
      <c r="R19" s="406"/>
      <c r="S19" s="508"/>
      <c r="T19" s="507">
        <f t="shared" si="7"/>
        <v>15885600</v>
      </c>
      <c r="U19" s="363">
        <f t="shared" si="8"/>
        <v>6.6295960114845327E-3</v>
      </c>
      <c r="V19" s="516">
        <f t="shared" si="9"/>
        <v>0.21033617803470941</v>
      </c>
      <c r="W19" s="512">
        <f t="shared" si="10"/>
        <v>8084.9571990733748</v>
      </c>
      <c r="X19" s="406"/>
      <c r="Y19" s="500">
        <f>Tabelad[[#This Row],[Exp %]]*$Y$10*$AD$7/Tabelad[[#This Row],[Price Today]]</f>
        <v>28000</v>
      </c>
      <c r="Z19" s="506">
        <f>Tabelad[[#This Row],[Vol 10d]]/16*Tabelad[[#This Row],[Exp %]]*100</f>
        <v>0.21246038780990692</v>
      </c>
      <c r="AA19" s="406">
        <f>Tabelad[[#This Row],[Exp %]]*Tabelad[[#This Row],[Beta Adj2]]</f>
        <v>6.604771997116626E-3</v>
      </c>
      <c r="AB19" s="122">
        <f>_xll.BDP($B19&amp;" Equity","volatility_10d")</f>
        <v>5.1275616177362027</v>
      </c>
      <c r="AC19" s="122">
        <f>_xll.BDP(B19&amp;" EQUITY","eqy_beta")</f>
        <v>0.99625557661056519</v>
      </c>
      <c r="AD19" s="512">
        <f>Tabelad[[#This Row],[D1 P&amp;L bps]]*$AD$5/10000</f>
        <v>47242.243193504866</v>
      </c>
      <c r="AE19" s="362"/>
      <c r="AF19" s="528" t="str">
        <f>_xll.BDP(B19&amp;" Equity","EXPECTED_REPORT_DT")</f>
        <v>#N/A N/A</v>
      </c>
      <c r="AG19" s="526" t="e">
        <f>_xll.BDP(B19&amp;" Index","CHG_PCT_1D_PRE_FROM_REGULAR")/100</f>
        <v>#VALUE!</v>
      </c>
      <c r="AH19" s="508" t="e">
        <f t="shared" si="11"/>
        <v>#VALUE!</v>
      </c>
      <c r="AI19" s="527" t="str">
        <f>_xll.BDP(B19&amp;" Equity","DVD_EX_DT")</f>
        <v>22/12/2025</v>
      </c>
    </row>
    <row r="20" spans="1:35" s="378" customFormat="1">
      <c r="A20" s="513" t="s">
        <v>1770</v>
      </c>
      <c r="B20" s="523" t="s">
        <v>3</v>
      </c>
      <c r="C20" s="378" t="s">
        <v>78</v>
      </c>
      <c r="E20" s="378" t="s">
        <v>194</v>
      </c>
      <c r="F20" s="522" t="s">
        <v>100</v>
      </c>
      <c r="G20" s="512"/>
      <c r="H20" s="511">
        <v>-80000</v>
      </c>
      <c r="I20" s="122" cm="1">
        <f t="array" ref="I20">_xll.BDP(B20&amp;" Equity","LAST_PRICE")</f>
        <v>198.57</v>
      </c>
      <c r="J20" s="545">
        <f t="shared" ref="J20" si="21">I20/K20-1</f>
        <v>1.4625781722816811E-3</v>
      </c>
      <c r="K20" s="510">
        <v>198.28</v>
      </c>
      <c r="L20" s="216">
        <f>_xll.BDP(E20&amp;" Curncy","PX_LAST")</f>
        <v>1</v>
      </c>
      <c r="M20" s="499">
        <v>1</v>
      </c>
      <c r="N20" s="512">
        <f t="shared" ref="N20" si="22">IFERROR(IF(((I20/L20)*H20*M20)&lt;&gt;0,((I20/L20)*H20*M20),0),"-")</f>
        <v>-15885600</v>
      </c>
      <c r="O20" s="509">
        <f>IFERROR(IF(Tabelad[[#This Row],[D1 Exp USD]]&lt;&gt;0,N20/$AE$7,0),"-")</f>
        <v>-6.6295960114845327E-3</v>
      </c>
      <c r="P20" s="508">
        <f>IFERROR(IF(Tabelad[[#This Row],[D1 Exp USD]]&lt;&gt;0,((I20-K20)/L20*M20*H20)/$AD$7*10000,0),"-")</f>
        <v>-9.682141528581667E-2</v>
      </c>
      <c r="Q20" s="512"/>
      <c r="R20" s="406"/>
      <c r="S20" s="508"/>
      <c r="T20" s="507">
        <f t="shared" ref="T20" si="23">N20+Q20</f>
        <v>-15885600</v>
      </c>
      <c r="U20" s="363">
        <f t="shared" ref="U20" si="24">T20/$AE$7</f>
        <v>-6.6295960114845327E-3</v>
      </c>
      <c r="V20" s="516">
        <f t="shared" ref="V20" si="25">P20+S20</f>
        <v>-9.682141528581667E-2</v>
      </c>
      <c r="W20" s="512">
        <f t="shared" ref="W20" si="26">$W$10/(I20/L20*M20)</f>
        <v>8084.9571990733748</v>
      </c>
      <c r="X20" s="406"/>
      <c r="Y20" s="500">
        <f>Tabelad[[#This Row],[Exp %]]*$Y$10*$AD$7/Tabelad[[#This Row],[Price Today]]</f>
        <v>-28000</v>
      </c>
      <c r="Z20" s="506">
        <f>Tabelad[[#This Row],[Vol 10d]]/16*Tabelad[[#This Row],[Exp %]]*100</f>
        <v>-0.21246038780990692</v>
      </c>
      <c r="AA20" s="406">
        <f>Tabelad[[#This Row],[Exp %]]*Tabelad[[#This Row],[Beta Adj2]]</f>
        <v>-6.604771997116626E-3</v>
      </c>
      <c r="AB20" s="122">
        <f>_xll.BDP($B20&amp;" Equity","volatility_10d")</f>
        <v>5.1275616177362027</v>
      </c>
      <c r="AC20" s="122">
        <f>_xll.BDP(B20&amp;" EQUITY","eqy_beta")</f>
        <v>0.99625557661056519</v>
      </c>
      <c r="AD20" s="512">
        <f>Tabelad[[#This Row],[D1 P&amp;L bps]]*$AD$5/10000</f>
        <v>-21746.429406533549</v>
      </c>
      <c r="AE20" s="362"/>
      <c r="AF20" s="528" t="str">
        <f>_xll.BDP(B20&amp;" Equity","EXPECTED_REPORT_DT")</f>
        <v>#N/A N/A</v>
      </c>
      <c r="AG20" s="526" t="e">
        <f>_xll.BDP(B20&amp;" Index","CHG_PCT_1D_PRE_FROM_REGULAR")/100</f>
        <v>#VALUE!</v>
      </c>
      <c r="AH20" s="508" t="e">
        <f t="shared" ref="AH20" si="27">(T20*AG20)/$AD$7*10000</f>
        <v>#VALUE!</v>
      </c>
      <c r="AI20" s="527" t="str">
        <f>_xll.BDP(B20&amp;" Equity","DVD_EX_DT")</f>
        <v>22/12/2025</v>
      </c>
    </row>
    <row r="21" spans="1:35" s="58" customFormat="1">
      <c r="A21" s="467"/>
      <c r="B21" s="417" t="s">
        <v>135</v>
      </c>
      <c r="C21" s="58" t="s">
        <v>78</v>
      </c>
      <c r="E21" s="58" t="s">
        <v>194</v>
      </c>
      <c r="F21" s="162" t="s">
        <v>100</v>
      </c>
      <c r="G21" s="398"/>
      <c r="H21" s="468"/>
      <c r="I21" s="14" cm="1">
        <f t="array" ref="I21">_xll.BDP(B21&amp;" Equity","LAST_PRICE")</f>
        <v>616.52</v>
      </c>
      <c r="J21" s="469">
        <f t="shared" si="4"/>
        <v>-1.536397610757978E-2</v>
      </c>
      <c r="K21" s="424">
        <f>_xll.BDP(B21&amp;" equity","PX_YEST_CLOSE")</f>
        <v>626.14</v>
      </c>
      <c r="L21" s="8">
        <f>_xll.BDP(E21&amp;" Curncy","PX_LAST")</f>
        <v>1</v>
      </c>
      <c r="M21" s="470">
        <v>1</v>
      </c>
      <c r="N21" s="398">
        <f t="shared" si="5"/>
        <v>0</v>
      </c>
      <c r="O21" s="471">
        <f>IFERROR(IF(Tabelad[[#This Row],[D1 Exp USD]]&lt;&gt;0,N21/$AE$7,0),"-")</f>
        <v>0</v>
      </c>
      <c r="P21" s="472">
        <f>IFERROR(IF(Tabelad[[#This Row],[D1 Exp USD]]&lt;&gt;0,((I21-K21)/L21*M21*H21)/$AD$7*10000,0),"-")</f>
        <v>0</v>
      </c>
      <c r="Q21" s="15">
        <f>IF(SUM(SUMIFS(Options!$AL$4:$AL$32, Options!$D$4:$D$32, B21), SUMIFS(Options!$AL$4:$AL$32, Options!$D$4:$D$32, B21 &amp; " US"))=0,0,SUM(SUMIFS(Options!$AL$4:$AL$32, Options!$D$4:$D$32, B21), SUMIFS(Options!$AL$4:$AL$32, Options!$D$4:$D$32, B21 &amp; " US")))</f>
        <v>-146655.19087016582</v>
      </c>
      <c r="R21" s="18">
        <f>Q21/$AE$7</f>
        <v>-6.1204151461471653E-5</v>
      </c>
      <c r="S21" s="19">
        <f>IF(SUM(SUMIFS(Options!$AK$4:$AK$32, Options!$D$4:$D$32, B21), SUMIFS(Options!$AK$4:$AK$32, Options!$D$4:$D$32, B21 &amp; " US"))=0,0,SUM(SUMIFS(Options!$AK$4:$AK$32, Options!$D$4:$D$32, B21), SUMIFS(Options!AK$4:$AK$32, Options!$D$4:$D$32, B21 &amp; " US")))</f>
        <v>0.1029144871098408</v>
      </c>
      <c r="T21" s="473">
        <f t="shared" si="7"/>
        <v>-146655.19087016582</v>
      </c>
      <c r="U21" s="474">
        <f t="shared" si="8"/>
        <v>-6.1204151461471653E-5</v>
      </c>
      <c r="V21" s="524">
        <f t="shared" si="9"/>
        <v>0.1029144871098408</v>
      </c>
      <c r="W21" s="398">
        <f t="shared" si="10"/>
        <v>2604.0192548822424</v>
      </c>
      <c r="X21" s="127"/>
      <c r="Y21" s="475">
        <f>Tabelad[[#This Row],[Exp %]]*$Y$10*$AD$7/Tabelad[[#This Row],[Price Today]]</f>
        <v>-83.256531506776795</v>
      </c>
      <c r="Z21" s="476">
        <f>Tabelad[[#This Row],[Vol 10d]]/16*Tabelad[[#This Row],[Exp %]]*100</f>
        <v>-5.6513850837008293E-3</v>
      </c>
      <c r="AA21" s="127">
        <f>Tabelad[[#This Row],[Exp %]]*Tabelad[[#This Row],[Beta Adj2]]</f>
        <v>-6.1259156785104381E-5</v>
      </c>
      <c r="AB21" s="14">
        <f>_xll.BDP($B21&amp;" Equity","volatility_10d")</f>
        <v>14.773860788860786</v>
      </c>
      <c r="AC21" s="14">
        <f>_xll.BDP(B21&amp;" EQUITY","eqy_beta")</f>
        <v>1.0008987188339233</v>
      </c>
      <c r="AD21" s="398">
        <f>Tabelad[[#This Row],[D1 P&amp;L bps]]*$AD$5/10000</f>
        <v>0</v>
      </c>
      <c r="AE21" s="331"/>
      <c r="AF21" s="477" t="str">
        <f>_xll.BDP(B21&amp;" Equity","EXPECTED_REPORT_DT")</f>
        <v>#N/A N/A</v>
      </c>
      <c r="AG21" s="478">
        <f>_xll.BDP(B21&amp;" Index","CHG_PCT_1D_PRE_FROM_REGULAR")/100</f>
        <v>3.1781870000000003E-3</v>
      </c>
      <c r="AH21" s="472">
        <f t="shared" si="11"/>
        <v>-1.9451823852088025E-3</v>
      </c>
      <c r="AI21" s="479" t="str">
        <f>_xll.BDP(B21&amp;" Equity","DVD_EX_DT")</f>
        <v>22/12/2025</v>
      </c>
    </row>
    <row r="22" spans="1:35" s="58" customFormat="1">
      <c r="A22" s="467" t="s">
        <v>1770</v>
      </c>
      <c r="B22" s="417" t="s">
        <v>135</v>
      </c>
      <c r="C22" s="58" t="s">
        <v>78</v>
      </c>
      <c r="E22" s="58" t="s">
        <v>194</v>
      </c>
      <c r="F22" s="162" t="s">
        <v>100</v>
      </c>
      <c r="G22" s="398"/>
      <c r="H22" s="468">
        <v>-40000</v>
      </c>
      <c r="I22" s="14" cm="1">
        <f t="array" ref="I22">_xll.BDP(B22&amp;" Equity","LAST_PRICE")</f>
        <v>616.52</v>
      </c>
      <c r="J22" s="469">
        <f t="shared" si="4"/>
        <v>-8.0128720836685208E-3</v>
      </c>
      <c r="K22" s="424">
        <v>621.5</v>
      </c>
      <c r="L22" s="8">
        <f>_xll.BDP(E22&amp;" Curncy","PX_LAST")</f>
        <v>1</v>
      </c>
      <c r="M22" s="470">
        <v>1</v>
      </c>
      <c r="N22" s="398">
        <f t="shared" si="5"/>
        <v>-24660800</v>
      </c>
      <c r="O22" s="471">
        <f>IFERROR(IF(Tabelad[[#This Row],[D1 Exp USD]]&lt;&gt;0,N22/$AE$7,0),"-")</f>
        <v>-1.0291782577933332E-2</v>
      </c>
      <c r="P22" s="472">
        <f>IFERROR(IF(Tabelad[[#This Row],[D1 Exp USD]]&lt;&gt;0,((I22-K22)/L22*M22*H22)/$AD$7*10000,0),"-")</f>
        <v>0.83132870366100353</v>
      </c>
      <c r="Q22" s="15"/>
      <c r="R22" s="18"/>
      <c r="S22" s="19"/>
      <c r="T22" s="473">
        <f t="shared" si="7"/>
        <v>-24660800</v>
      </c>
      <c r="U22" s="474">
        <f t="shared" si="8"/>
        <v>-1.0291782577933332E-2</v>
      </c>
      <c r="V22" s="524">
        <f t="shared" si="9"/>
        <v>0.83132870366100353</v>
      </c>
      <c r="W22" s="398">
        <f t="shared" si="10"/>
        <v>2604.0192548822424</v>
      </c>
      <c r="X22" s="127"/>
      <c r="Y22" s="475">
        <f>Tabelad[[#This Row],[Exp %]]*$Y$10*$AD$7/Tabelad[[#This Row],[Price Today]]</f>
        <v>-14000</v>
      </c>
      <c r="Z22" s="476">
        <f>Tabelad[[#This Row],[Vol 10d]]/16*Tabelad[[#This Row],[Exp %]]*100</f>
        <v>-0.95030851922256154</v>
      </c>
      <c r="AA22" s="127">
        <f>Tabelad[[#This Row],[Exp %]]*Tabelad[[#This Row],[Beta Adj2]]</f>
        <v>-1.0301031996770765E-2</v>
      </c>
      <c r="AB22" s="14">
        <f>_xll.BDP($B22&amp;" Equity","volatility_10d")</f>
        <v>14.773860788860786</v>
      </c>
      <c r="AC22" s="14">
        <f>_xll.BDP(B22&amp;" EQUITY","eqy_beta")</f>
        <v>1.0008987188339233</v>
      </c>
      <c r="AD22" s="398">
        <f>Tabelad[[#This Row],[D1 P&amp;L bps]]*$AD$5/10000</f>
        <v>186719.34214575938</v>
      </c>
      <c r="AE22" s="331"/>
      <c r="AF22" s="477" t="str">
        <f>_xll.BDP(B22&amp;" Equity","EXPECTED_REPORT_DT")</f>
        <v>#N/A N/A</v>
      </c>
      <c r="AG22" s="478">
        <f>_xll.BDP(B22&amp;" Index","CHG_PCT_1D_PRE_FROM_REGULAR")/100</f>
        <v>3.1781870000000003E-3</v>
      </c>
      <c r="AH22" s="472">
        <f t="shared" si="11"/>
        <v>-0.3270920959601421</v>
      </c>
      <c r="AI22" s="479" t="str">
        <f>_xll.BDP(B22&amp;" Equity","DVD_EX_DT")</f>
        <v>22/12/2025</v>
      </c>
    </row>
    <row r="23" spans="1:35" s="58" customFormat="1" ht="15.75" thickBot="1">
      <c r="A23" s="467" t="s">
        <v>1770</v>
      </c>
      <c r="B23" s="417" t="s">
        <v>135</v>
      </c>
      <c r="C23" s="58" t="s">
        <v>78</v>
      </c>
      <c r="E23" s="58" t="s">
        <v>194</v>
      </c>
      <c r="F23" s="162" t="s">
        <v>100</v>
      </c>
      <c r="G23" s="398"/>
      <c r="H23" s="468">
        <v>40000</v>
      </c>
      <c r="I23" s="14" cm="1">
        <f t="array" ref="I23">_xll.BDP(B23&amp;" Equity","LAST_PRICE")</f>
        <v>616.52</v>
      </c>
      <c r="J23" s="469">
        <f t="shared" si="4"/>
        <v>-5.3241263592657129E-3</v>
      </c>
      <c r="K23" s="424">
        <v>619.82000000000005</v>
      </c>
      <c r="L23" s="8">
        <f>_xll.BDP(E23&amp;" Curncy","PX_LAST")</f>
        <v>1</v>
      </c>
      <c r="M23" s="470">
        <v>1</v>
      </c>
      <c r="N23" s="398">
        <f t="shared" si="5"/>
        <v>24660800</v>
      </c>
      <c r="O23" s="471">
        <f>IFERROR(IF(Tabelad[[#This Row],[D1 Exp USD]]&lt;&gt;0,N23/$AE$7,0),"-")</f>
        <v>1.0291782577933332E-2</v>
      </c>
      <c r="P23" s="472">
        <f>IFERROR(IF(Tabelad[[#This Row],[D1 Exp USD]]&lt;&gt;0,((I23-K23)/L23*M23*H23)/$AD$7*10000,0),"-")</f>
        <v>-0.5508804662813972</v>
      </c>
      <c r="Q23" s="15"/>
      <c r="R23" s="18"/>
      <c r="S23" s="19"/>
      <c r="T23" s="473">
        <f t="shared" si="7"/>
        <v>24660800</v>
      </c>
      <c r="U23" s="474">
        <f t="shared" si="8"/>
        <v>1.0291782577933332E-2</v>
      </c>
      <c r="V23" s="505">
        <f t="shared" si="9"/>
        <v>-0.5508804662813972</v>
      </c>
      <c r="W23" s="398">
        <f t="shared" si="10"/>
        <v>2604.0192548822424</v>
      </c>
      <c r="X23" s="127"/>
      <c r="Y23" s="475">
        <f>Tabelad[[#This Row],[Exp %]]*$Y$10*$AD$7/Tabelad[[#This Row],[Price Today]]</f>
        <v>14000</v>
      </c>
      <c r="Z23" s="476">
        <f>Tabelad[[#This Row],[Vol 10d]]/16*Tabelad[[#This Row],[Exp %]]*100</f>
        <v>0.95030851922256154</v>
      </c>
      <c r="AA23" s="127">
        <f>Tabelad[[#This Row],[Exp %]]*Tabelad[[#This Row],[Beta Adj2]]</f>
        <v>1.0301031996770765E-2</v>
      </c>
      <c r="AB23" s="14">
        <f>_xll.BDP($B23&amp;" Equity","volatility_10d")</f>
        <v>14.773860788860786</v>
      </c>
      <c r="AC23" s="14">
        <f>_xll.BDP(B23&amp;" EQUITY","eqy_beta")</f>
        <v>1.0008987188339233</v>
      </c>
      <c r="AD23" s="398">
        <f>Tabelad[[#This Row],[D1 P&amp;L bps]]*$AD$5/10000</f>
        <v>-123729.68455442098</v>
      </c>
      <c r="AE23" s="331"/>
      <c r="AF23" s="477" t="str">
        <f>_xll.BDP(B23&amp;" Equity","EXPECTED_REPORT_DT")</f>
        <v>#N/A N/A</v>
      </c>
      <c r="AG23" s="478">
        <f>_xll.BDP(B23&amp;" Index","CHG_PCT_1D_PRE_FROM_REGULAR")/100</f>
        <v>3.1781870000000003E-3</v>
      </c>
      <c r="AH23" s="472">
        <f t="shared" si="11"/>
        <v>0.3270920959601421</v>
      </c>
      <c r="AI23" s="479" t="str">
        <f>_xll.BDP(B23&amp;" Equity","DVD_EX_DT")</f>
        <v>22/12/2025</v>
      </c>
    </row>
    <row r="24" spans="1:35">
      <c r="B24" s="39" t="s">
        <v>2145</v>
      </c>
      <c r="C24" t="s">
        <v>2246</v>
      </c>
      <c r="E24" t="s">
        <v>194</v>
      </c>
      <c r="F24" s="21" t="s">
        <v>99</v>
      </c>
      <c r="G24" s="15"/>
      <c r="H24" s="432">
        <v>14500</v>
      </c>
      <c r="I24" s="35" cm="1">
        <f t="array" ref="I24">_xll.BDP(B24&amp;" Equity","LAST_PRICE")</f>
        <v>340.7</v>
      </c>
      <c r="J24" s="50">
        <f t="shared" si="4"/>
        <v>-1.2177442737025146E-2</v>
      </c>
      <c r="K24" s="424">
        <f>_xll.BDP(B24&amp;" equity","PX_YEST_CLOSE")</f>
        <v>344.9</v>
      </c>
      <c r="L24" s="52">
        <f>_xll.BDP(E24&amp;" Curncy","PX_LAST")</f>
        <v>1</v>
      </c>
      <c r="M24" s="51">
        <v>1</v>
      </c>
      <c r="N24" s="15">
        <f t="shared" si="5"/>
        <v>4940150</v>
      </c>
      <c r="O24" s="351">
        <f>IFERROR(IF(Tabelad[[#This Row],[D1 Exp USD]]&lt;&gt;0,N24/$AE$7,0),"-")</f>
        <v>2.0616910117424152E-3</v>
      </c>
      <c r="P24" s="19">
        <f>IFERROR(IF(Tabelad[[#This Row],[D1 Exp USD]]&lt;&gt;0,((I24-K24)/L24*M24*H24)/$AD$7*10000,0),"-")</f>
        <v>-0.25415621512527503</v>
      </c>
      <c r="Q24" s="15">
        <f>IF(SUM(SUMIFS(Options!$AL$4:$AL$32, Options!$D$4:$D$32, B24), SUMIFS(Options!$AL$4:$AL$32, Options!$D$4:$D$32, B24 &amp; " US"))=0,0,SUM(SUMIFS(Options!$AL$4:$AL$32, Options!$D$4:$D$32, B24), SUMIFS(Options!$AL$4:$AL$32, Options!$D$4:$D$32, B24 &amp; " US")))</f>
        <v>0</v>
      </c>
      <c r="R24" s="18">
        <f t="shared" ref="R24:R42" si="28">Q24/$AE$7</f>
        <v>0</v>
      </c>
      <c r="S24" s="19">
        <f>IF(SUM(SUMIFS(Options!$AK$4:$AK$32, Options!$D$4:$D$32, B24), SUMIFS(Options!$AK$4:$AK$32, Options!$D$4:$D$32, B24 &amp; " US"))=0,0,SUM(SUMIFS(Options!$AK$4:$AK$32, Options!$D$4:$D$32, B24), SUMIFS(Options!AK$4:$AK$32, Options!$D$4:$D$32, B24 &amp; " US")))</f>
        <v>0</v>
      </c>
      <c r="T24" s="13">
        <f t="shared" si="7"/>
        <v>4940150</v>
      </c>
      <c r="U24" s="47">
        <f t="shared" si="8"/>
        <v>2.0616910117424152E-3</v>
      </c>
      <c r="V24" s="19">
        <f t="shared" si="9"/>
        <v>-0.25415621512527503</v>
      </c>
      <c r="W24" s="15">
        <f t="shared" si="10"/>
        <v>4712.1513091282659</v>
      </c>
      <c r="X24" s="18"/>
      <c r="Y24" s="369">
        <f>Tabelad[[#This Row],[Exp %]]*$Y$10*$AD$7/Tabelad[[#This Row],[Price Today]]</f>
        <v>5074.9999999999991</v>
      </c>
      <c r="Z24" s="260">
        <f>Tabelad[[#This Row],[Vol 10d]]/16*Tabelad[[#This Row],[Exp %]]*100</f>
        <v>0.20533068396709916</v>
      </c>
      <c r="AA24" s="18">
        <f>Tabelad[[#This Row],[Exp %]]*Tabelad[[#This Row],[Beta Adj2]]</f>
        <v>2.121206350716354E-3</v>
      </c>
      <c r="AB24" s="35">
        <f>_xll.BDP($B24&amp;" Equity","volatility_10d")</f>
        <v>15.934933628570555</v>
      </c>
      <c r="AC24" s="35">
        <f>_xll.BDP(B24&amp;" EQUITY","eqy_beta")</f>
        <v>1.028867244720459</v>
      </c>
      <c r="AD24" s="15">
        <f>Tabelad[[#This Row],[D1 P&amp;L bps]]*$AD$5/10000</f>
        <v>-57084.377192151973</v>
      </c>
      <c r="AE24" s="271"/>
      <c r="AF24" s="226" t="str">
        <f>_xll.BDP(B24&amp;" Equity","EXPECTED_REPORT_DT")</f>
        <v>04/02/2026</v>
      </c>
      <c r="AG24" s="171">
        <f>_xll.BDP(B24&amp;" Index","CHG_PCT_1D_PRE_FROM_REGULAR")/100</f>
        <v>1.1974499999999999E-2</v>
      </c>
      <c r="AH24" s="19">
        <f t="shared" si="11"/>
        <v>0.2468771902010955</v>
      </c>
      <c r="AI24" s="431" t="str">
        <f>_xll.BDP(B24&amp;" Equity","DVD_EX_DT")</f>
        <v>08/12/2025</v>
      </c>
    </row>
    <row r="25" spans="1:35">
      <c r="B25" s="39" t="s">
        <v>79</v>
      </c>
      <c r="C25" t="s">
        <v>2246</v>
      </c>
      <c r="E25" t="s">
        <v>194</v>
      </c>
      <c r="F25" s="21" t="s">
        <v>99</v>
      </c>
      <c r="G25" s="15"/>
      <c r="H25" s="432">
        <v>3000</v>
      </c>
      <c r="I25" s="35" cm="1">
        <f t="array" ref="I25">_xll.BDP(B25&amp;" Equity","LAST_PRICE")</f>
        <v>269.48</v>
      </c>
      <c r="J25" s="50">
        <f t="shared" si="4"/>
        <v>-1.9628902633235246E-3</v>
      </c>
      <c r="K25" s="424">
        <f>_xll.BDP(B25&amp;" equity","PX_YEST_CLOSE")</f>
        <v>270.01</v>
      </c>
      <c r="L25" s="52">
        <f>_xll.BDP(E25&amp;" Curncy","PX_LAST")</f>
        <v>1</v>
      </c>
      <c r="M25" s="51">
        <v>1</v>
      </c>
      <c r="N25" s="15">
        <f t="shared" si="5"/>
        <v>808440</v>
      </c>
      <c r="O25" s="351">
        <f>IFERROR(IF(Tabelad[[#This Row],[D1 Exp USD]]&lt;&gt;0,N25/$AE$7,0),"-")</f>
        <v>3.373892455761542E-4</v>
      </c>
      <c r="P25" s="19">
        <f>IFERROR(IF(Tabelad[[#This Row],[D1 Exp USD]]&lt;&gt;0,((I25-K25)/L25*M25*H25)/$AD$7*10000,0),"-")</f>
        <v>-6.6356056165708969E-3</v>
      </c>
      <c r="Q25" s="15">
        <f>IF(SUM(SUMIFS(Options!$AL$4:$AL$32, Options!$D$4:$D$32, B25), SUMIFS(Options!$AL$4:$AL$32, Options!$D$4:$D$32, B25 &amp; " US"))=0,0,SUM(SUMIFS(Options!$AL$4:$AL$32, Options!$D$4:$D$32, B25), SUMIFS(Options!$AL$4:$AL$32, Options!$D$4:$D$32, B25 &amp; " US")))</f>
        <v>2523876.0336399088</v>
      </c>
      <c r="R25" s="18">
        <f t="shared" si="28"/>
        <v>1.0532984895817935E-3</v>
      </c>
      <c r="S25" s="19">
        <f>IF(SUM(SUMIFS(Options!$AK$4:$AK$32, Options!$D$4:$D$32, B25), SUMIFS(Options!$AK$4:$AK$32, Options!$D$4:$D$32, B25 &amp; " US"))=0,0,SUM(SUMIFS(Options!$AK$4:$AK$32, Options!$D$4:$D$32, B25), SUMIFS(Options!AK$4:$AK$32, Options!$D$4:$D$32, B25 &amp; " US")))</f>
        <v>1.4606679030188599E-2</v>
      </c>
      <c r="T25" s="13">
        <f t="shared" si="7"/>
        <v>3332316.0336399088</v>
      </c>
      <c r="U25" s="47">
        <f t="shared" si="8"/>
        <v>1.3906877351579478E-3</v>
      </c>
      <c r="V25" s="19">
        <f t="shared" si="9"/>
        <v>7.9710734136177012E-3</v>
      </c>
      <c r="W25" s="15">
        <f t="shared" si="10"/>
        <v>5957.5105797090691</v>
      </c>
      <c r="X25" s="18"/>
      <c r="Y25" s="369">
        <f>Tabelad[[#This Row],[Exp %]]*$Y$10*$AD$7/Tabelad[[#This Row],[Price Today]]</f>
        <v>4328.0043482780466</v>
      </c>
      <c r="Z25" s="260">
        <f>Tabelad[[#This Row],[Vol 10d]]/16*Tabelad[[#This Row],[Exp %]]*100</f>
        <v>0.21906291575745102</v>
      </c>
      <c r="AA25" s="18">
        <f>Tabelad[[#This Row],[Exp %]]*Tabelad[[#This Row],[Beta Adj2]]</f>
        <v>1.4892086977761152E-3</v>
      </c>
      <c r="AB25" s="35">
        <f>_xll.BDP($B25&amp;" Equity","volatility_10d")</f>
        <v>25.203405218218411</v>
      </c>
      <c r="AC25" s="35" cm="1">
        <f t="array" ref="AC25">_xll.BDP(B25&amp;" EQUITY","eqy_beta")</f>
        <v>1.0708433389663696</v>
      </c>
      <c r="AD25" s="15">
        <f>Tabelad[[#This Row],[D1 P&amp;L bps]]*$AD$5/10000</f>
        <v>-1490.3802912235997</v>
      </c>
      <c r="AE25" s="271"/>
      <c r="AF25" s="226" t="str">
        <f>_xll.BDP(B25&amp;" Equity","EXPECTED_REPORT_DT")</f>
        <v>01/05/2026</v>
      </c>
      <c r="AG25" s="171">
        <f>_xll.BDP(B25&amp;" Index","CHG_PCT_1D_PRE_FROM_REGULAR")/100</f>
        <v>-1.925927E-3</v>
      </c>
      <c r="AH25" s="19">
        <f t="shared" si="11"/>
        <v>-2.6783630577095409E-2</v>
      </c>
      <c r="AI25" s="431" t="str">
        <f>_xll.BDP(B25&amp;" Equity","DVD_EX_DT")</f>
        <v>09/02/2026</v>
      </c>
    </row>
    <row r="26" spans="1:35" s="58" customFormat="1">
      <c r="A26" s="467" t="s">
        <v>1770</v>
      </c>
      <c r="B26" s="417" t="s">
        <v>79</v>
      </c>
      <c r="C26" s="58" t="s">
        <v>2246</v>
      </c>
      <c r="E26" s="58" t="s">
        <v>194</v>
      </c>
      <c r="F26" s="162" t="s">
        <v>99</v>
      </c>
      <c r="G26" s="398"/>
      <c r="H26" s="468">
        <v>5500</v>
      </c>
      <c r="I26" s="14" cm="1">
        <f t="array" ref="I26">_xll.BDP(B26&amp;" Equity","LAST_PRICE")</f>
        <v>269.48</v>
      </c>
      <c r="J26" s="469">
        <f t="shared" si="4"/>
        <v>-5.9756547399483217E-3</v>
      </c>
      <c r="K26" s="515">
        <v>271.10000000000002</v>
      </c>
      <c r="L26" s="8">
        <f>_xll.BDP(E26&amp;" Curncy","PX_LAST")</f>
        <v>1</v>
      </c>
      <c r="M26" s="470">
        <v>1</v>
      </c>
      <c r="N26" s="398">
        <f t="shared" si="5"/>
        <v>1482140</v>
      </c>
      <c r="O26" s="471">
        <f>IFERROR(IF(Tabelad[[#This Row],[D1 Exp USD]]&lt;&gt;0,N26/$AE$7,0),"-")</f>
        <v>6.1854695022294935E-4</v>
      </c>
      <c r="P26" s="472">
        <f>IFERROR(IF(Tabelad[[#This Row],[D1 Exp USD]]&lt;&gt;0,((I26-K26)/L26*M26*H26)/$AD$7*10000,0),"-")</f>
        <v>-3.7184431473993647E-2</v>
      </c>
      <c r="Q26" s="398"/>
      <c r="R26" s="127"/>
      <c r="S26" s="472"/>
      <c r="T26" s="473">
        <f t="shared" si="7"/>
        <v>1482140</v>
      </c>
      <c r="U26" s="474">
        <f t="shared" si="8"/>
        <v>6.1854695022294935E-4</v>
      </c>
      <c r="V26" s="472">
        <f t="shared" si="9"/>
        <v>-3.7184431473993647E-2</v>
      </c>
      <c r="W26" s="398">
        <f t="shared" si="10"/>
        <v>5957.5105797090691</v>
      </c>
      <c r="X26" s="127"/>
      <c r="Y26" s="475">
        <f>Tabelad[[#This Row],[Exp %]]*$Y$10*$AD$7/Tabelad[[#This Row],[Price Today]]</f>
        <v>1924.9999999999995</v>
      </c>
      <c r="Z26" s="476">
        <f>Tabelad[[#This Row],[Vol 10d]]/16*Tabelad[[#This Row],[Exp %]]*100</f>
        <v>9.7434308956013543E-2</v>
      </c>
      <c r="AA26" s="127">
        <f>Tabelad[[#This Row],[Exp %]]*Tabelad[[#This Row],[Beta Adj2]]</f>
        <v>6.6236688148420795E-4</v>
      </c>
      <c r="AB26" s="14">
        <f>_xll.BDP($B26&amp;" Equity","volatility_10d")</f>
        <v>25.203405218218411</v>
      </c>
      <c r="AC26" s="14" cm="1">
        <f t="array" ref="AC26">_xll.BDP(B26&amp;" EQUITY","eqy_beta")</f>
        <v>1.0708433389663696</v>
      </c>
      <c r="AD26" s="398">
        <f>Tabelad[[#This Row],[D1 P&amp;L bps]]*$AD$5/10000</f>
        <v>-8351.753707423266</v>
      </c>
      <c r="AE26" s="331"/>
      <c r="AF26" s="477" t="str">
        <f>_xll.BDP(B26&amp;" Equity","EXPECTED_REPORT_DT")</f>
        <v>01/05/2026</v>
      </c>
      <c r="AG26" s="478">
        <f>_xll.BDP(B26&amp;" Index","CHG_PCT_1D_PRE_FROM_REGULAR")/100</f>
        <v>-1.925927E-3</v>
      </c>
      <c r="AH26" s="472">
        <f t="shared" si="11"/>
        <v>-1.1912762722020343E-2</v>
      </c>
      <c r="AI26" s="479" t="str">
        <f>_xll.BDP(B26&amp;" Equity","DVD_EX_DT")</f>
        <v>09/02/2026</v>
      </c>
    </row>
    <row r="27" spans="1:35">
      <c r="B27" s="39" t="s">
        <v>399</v>
      </c>
      <c r="C27" t="s">
        <v>2246</v>
      </c>
      <c r="E27" t="s">
        <v>194</v>
      </c>
      <c r="F27" s="21" t="s">
        <v>99</v>
      </c>
      <c r="G27" s="15"/>
      <c r="H27" s="432">
        <v>14700</v>
      </c>
      <c r="I27" s="35" cm="1">
        <f t="array" ref="I27">_xll.BDP(B27&amp;" Equity","LAST_PRICE")</f>
        <v>238.62</v>
      </c>
      <c r="J27" s="50">
        <f t="shared" si="4"/>
        <v>-1.7863022719789234E-2</v>
      </c>
      <c r="K27" s="424">
        <f>_xll.BDP(B27&amp;" equity","PX_YEST_CLOSE")</f>
        <v>242.96</v>
      </c>
      <c r="L27" s="52">
        <f>_xll.BDP(E27&amp;" Curncy","PX_LAST")</f>
        <v>1</v>
      </c>
      <c r="M27" s="51">
        <v>1</v>
      </c>
      <c r="N27" s="15">
        <f t="shared" si="5"/>
        <v>3507714</v>
      </c>
      <c r="O27" s="351">
        <f>IFERROR(IF(Tabelad[[#This Row],[D1 Exp USD]]&lt;&gt;0,N27/$AE$7,0),"-")</f>
        <v>1.4638872150770795E-3</v>
      </c>
      <c r="P27" s="19">
        <f>IFERROR(IF(Tabelad[[#This Row],[D1 Exp USD]]&lt;&gt;0,((I27-K27)/L27*M27*H27)/$AD$7*10000,0),"-")</f>
        <v>-0.26625054536227183</v>
      </c>
      <c r="Q27" s="15">
        <f>IF(SUM(SUMIFS(Options!$AL$4:$AL$32, Options!$D$4:$D$32, B27), SUMIFS(Options!$AL$4:$AL$32, Options!$D$4:$D$32, B27 &amp; " US"))=0,0,SUM(SUMIFS(Options!$AL$4:$AL$32, Options!$D$4:$D$32, B27), SUMIFS(Options!$AL$4:$AL$32, Options!$D$4:$D$32, B27 &amp; " US")))</f>
        <v>0</v>
      </c>
      <c r="R27" s="18">
        <f t="shared" si="28"/>
        <v>0</v>
      </c>
      <c r="S27" s="19">
        <f>IF(SUM(SUMIFS(Options!$AK$4:$AK$32, Options!$D$4:$D$32, B27), SUMIFS(Options!$AK$4:$AK$32, Options!$D$4:$D$32, B27 &amp; " US"))=0,0,SUM(SUMIFS(Options!$AK$4:$AK$32, Options!$D$4:$D$32, B27), SUMIFS(Options!AK$4:$AK$32, Options!$D$4:$D$32, B27 &amp; " US")))</f>
        <v>0</v>
      </c>
      <c r="T27" s="13">
        <f t="shared" si="7"/>
        <v>3507714</v>
      </c>
      <c r="U27" s="47">
        <f t="shared" si="8"/>
        <v>1.4638872150770795E-3</v>
      </c>
      <c r="V27" s="19">
        <f t="shared" si="9"/>
        <v>-0.26625054536227183</v>
      </c>
      <c r="W27" s="15">
        <f t="shared" si="10"/>
        <v>6727.977332243735</v>
      </c>
      <c r="X27" s="18"/>
      <c r="Y27" s="369">
        <f>Tabelad[[#This Row],[Exp %]]*$Y$10*$AD$7/Tabelad[[#This Row],[Price Today]]</f>
        <v>5144.9999999999991</v>
      </c>
      <c r="Z27" s="260">
        <f>Tabelad[[#This Row],[Vol 10d]]/16*Tabelad[[#This Row],[Exp %]]*100</f>
        <v>0.22674459518712267</v>
      </c>
      <c r="AA27" s="18">
        <f>Tabelad[[#This Row],[Exp %]]*Tabelad[[#This Row],[Beta Adj2]]</f>
        <v>1.8585184499992765E-3</v>
      </c>
      <c r="AB27" s="35">
        <f>_xll.BDP($B27&amp;" Equity","volatility_10d")</f>
        <v>24.782739309619142</v>
      </c>
      <c r="AC27" s="35">
        <f>_xll.BDP(B27&amp;" EQUITY","eqy_beta")</f>
        <v>1.2695776224136353</v>
      </c>
      <c r="AD27" s="15">
        <f>Tabelad[[#This Row],[D1 P&amp;L bps]]*$AD$5/10000</f>
        <v>-59800.806175778736</v>
      </c>
      <c r="AE27" s="271"/>
      <c r="AF27" s="226" t="str">
        <f>_xll.BDP(B27&amp;" Equity","EXPECTED_REPORT_DT")</f>
        <v>05/02/2026</v>
      </c>
      <c r="AG27" s="171">
        <f>_xll.BDP(B27&amp;" Index","CHG_PCT_1D_PRE_FROM_REGULAR")/100</f>
        <v>9.0137769999999989E-3</v>
      </c>
      <c r="AH27" s="19">
        <f t="shared" si="11"/>
        <v>0.13195152909855831</v>
      </c>
      <c r="AI27" s="431" t="str">
        <f>_xll.BDP(B27&amp;" Equity","DVD_EX_DT")</f>
        <v>#N/A Field Not Applicable</v>
      </c>
    </row>
    <row r="28" spans="1:35" s="58" customFormat="1">
      <c r="A28" s="467"/>
      <c r="B28" s="417" t="s">
        <v>2497</v>
      </c>
      <c r="C28" s="58" t="s">
        <v>2246</v>
      </c>
      <c r="E28" s="58" t="s">
        <v>194</v>
      </c>
      <c r="F28" s="162" t="s">
        <v>100</v>
      </c>
      <c r="G28" s="398"/>
      <c r="H28" s="468"/>
      <c r="I28" s="14" cm="1">
        <f t="array" ref="I28">_xll.BDP(B28&amp;" Equity","LAST_PRICE")</f>
        <v>79.94</v>
      </c>
      <c r="J28" s="469">
        <f t="shared" si="4"/>
        <v>-3.407443209279859E-2</v>
      </c>
      <c r="K28" s="515">
        <f>_xll.BDP(B28&amp;" equity","PX_YEST_CLOSE")</f>
        <v>82.76</v>
      </c>
      <c r="L28" s="8">
        <f>_xll.BDP(E28&amp;" Curncy","PX_LAST")</f>
        <v>1</v>
      </c>
      <c r="M28" s="470">
        <v>1</v>
      </c>
      <c r="N28" s="398">
        <f t="shared" si="5"/>
        <v>0</v>
      </c>
      <c r="O28" s="471">
        <f>IFERROR(IF(Tabelad[[#This Row],[D1 Exp USD]]&lt;&gt;0,N28/$AE$7,0),"-")</f>
        <v>0</v>
      </c>
      <c r="P28" s="472">
        <f>IFERROR(IF(Tabelad[[#This Row],[D1 Exp USD]]&lt;&gt;0,((I28-K28)/L28*M28*H28)/$AD$7*10000,0),"-")</f>
        <v>0</v>
      </c>
      <c r="Q28" s="398">
        <f>IF(SUM(SUMIFS(Options!$AL$4:$AL$32, Options!$D$4:$D$32, B28), SUMIFS(Options!$AL$4:$AL$32, Options!$D$4:$D$32, B28 &amp; " US"))=0,0,SUM(SUMIFS(Options!$AL$4:$AL$32, Options!$D$4:$D$32, B28), SUMIFS(Options!$AL$4:$AL$32, Options!$D$4:$D$32, B28 &amp; " US")))</f>
        <v>-190285.53109169006</v>
      </c>
      <c r="R28" s="127">
        <f>Q28/$AE$7</f>
        <v>-7.9412562192720726E-5</v>
      </c>
      <c r="S28" s="472">
        <f>IF(SUM(SUMIFS(Options!$AK$4:$AK$32, Options!$D$4:$D$32, B28), SUMIFS(Options!$AK$4:$AK$32, Options!$D$4:$D$32, B28 &amp; " US"))=0,0,SUM(SUMIFS(Options!$AK$4:$AK$32, Options!$D$4:$D$32, B28), SUMIFS(Options!AK$4:$AK$32, Options!$D$4:$D$32, B28 &amp; " US")))</f>
        <v>-7.5120063583825206E-3</v>
      </c>
      <c r="T28" s="473">
        <f t="shared" si="7"/>
        <v>-190285.53109169006</v>
      </c>
      <c r="U28" s="474">
        <f t="shared" si="8"/>
        <v>-7.9412562192720726E-5</v>
      </c>
      <c r="V28" s="472">
        <f t="shared" si="9"/>
        <v>-7.5120063583825206E-3</v>
      </c>
      <c r="W28" s="398">
        <f t="shared" si="10"/>
        <v>20082.936590192647</v>
      </c>
      <c r="X28" s="127"/>
      <c r="Y28" s="475">
        <f>Tabelad[[#This Row],[Exp %]]*$Y$10*$AD$7/Tabelad[[#This Row],[Price Today]]</f>
        <v>-833.12404155731201</v>
      </c>
      <c r="Z28" s="476">
        <f>Tabelad[[#This Row],[Vol 10d]]/16*Tabelad[[#This Row],[Exp %]]*100</f>
        <v>-1.4607521249001805E-2</v>
      </c>
      <c r="AA28" s="127">
        <f>Tabelad[[#This Row],[Exp %]]*Tabelad[[#This Row],[Beta Adj2]]</f>
        <v>-8.7679702506640518E-5</v>
      </c>
      <c r="AB28" s="14">
        <f>_xll.BDP($B28&amp;" Equity","volatility_10d")</f>
        <v>29.431154659993155</v>
      </c>
      <c r="AC28" s="14" cm="1">
        <f t="array" ref="AC28">_xll.BDP(B28&amp;" EQUITY","eqy_beta")</f>
        <v>1.104103684425354</v>
      </c>
      <c r="AD28" s="398">
        <f>Tabelad[[#This Row],[D1 P&amp;L bps]]*$AD$5/10000</f>
        <v>0</v>
      </c>
      <c r="AE28" s="331"/>
      <c r="AF28" s="477" t="str">
        <f>_xll.BDP(B28&amp;" Equity","EXPECTED_REPORT_DT")</f>
        <v>17/04/2026</v>
      </c>
      <c r="AG28" s="478">
        <f>_xll.BDP(B28&amp;" Index","CHG_PCT_1D_PRE_FROM_REGULAR")/100</f>
        <v>-6.8873820000000001E-3</v>
      </c>
      <c r="AH28" s="472">
        <f t="shared" si="11"/>
        <v>5.4694465142002529E-3</v>
      </c>
      <c r="AI28" s="479" t="str">
        <f>_xll.BDP(B28&amp;" Equity","DVD_EX_DT")</f>
        <v>#N/A Field Not Applicable</v>
      </c>
    </row>
    <row r="29" spans="1:35">
      <c r="B29" s="39" t="s">
        <v>81</v>
      </c>
      <c r="C29" t="s">
        <v>2246</v>
      </c>
      <c r="E29" t="s">
        <v>194</v>
      </c>
      <c r="F29" s="21" t="s">
        <v>99</v>
      </c>
      <c r="G29" s="15"/>
      <c r="H29" s="432">
        <v>5750</v>
      </c>
      <c r="I29" s="35" cm="1">
        <f t="array" ref="I29">_xll.BDP(B29&amp;" Equity","LAST_PRICE")</f>
        <v>691.7</v>
      </c>
      <c r="J29" s="50">
        <f t="shared" si="4"/>
        <v>-2.082360102490044E-2</v>
      </c>
      <c r="K29" s="424">
        <f>_xll.BDP(B29&amp;" equity","PX_YEST_CLOSE")</f>
        <v>706.41</v>
      </c>
      <c r="L29" s="52">
        <f>_xll.BDP(E29&amp;" Curncy","PX_LAST")</f>
        <v>1</v>
      </c>
      <c r="M29" s="51">
        <v>1</v>
      </c>
      <c r="N29" s="15">
        <f t="shared" si="5"/>
        <v>3977275.0000000005</v>
      </c>
      <c r="O29" s="351">
        <f>IFERROR(IF(Tabelad[[#This Row],[D1 Exp USD]]&lt;&gt;0,N29/$AE$7,0),"-")</f>
        <v>1.659850838279772E-3</v>
      </c>
      <c r="P29" s="19">
        <f>IFERROR(IF(Tabelad[[#This Row],[D1 Exp USD]]&lt;&gt;0,((I29-K29)/L29*M29*H29)/$AD$7*10000,0),"-")</f>
        <v>-0.35299126544882625</v>
      </c>
      <c r="Q29" s="15">
        <f>IF(SUM(SUMIFS(Options!$AL$4:$AL$32, Options!$D$4:$D$32, B29), SUMIFS(Options!$AL$4:$AL$32, Options!$D$4:$D$32, B29 &amp; " US"))=0,0,SUM(SUMIFS(Options!$AL$4:$AL$32, Options!$D$4:$D$32, B29), SUMIFS(Options!$AL$4:$AL$32, Options!$D$4:$D$32, B29 &amp; " US")))</f>
        <v>3985198.1242105365</v>
      </c>
      <c r="R29" s="18">
        <f t="shared" si="28"/>
        <v>1.663157424915761E-3</v>
      </c>
      <c r="S29" s="19">
        <f>IF(SUM(SUMIFS(Options!$AK$4:$AK$32, Options!$D$4:$D$32, B29), SUMIFS(Options!$AK$4:$AK$32, Options!$D$4:$D$32, B29 &amp; " US"))=0,0,SUM(SUMIFS(Options!$AK$4:$AK$32, Options!$D$4:$D$32, B29), SUMIFS(Options!AK$4:$AK$32, Options!$D$4:$D$32, B29 &amp; " US")))</f>
        <v>-0.34395599113444053</v>
      </c>
      <c r="T29" s="13">
        <f t="shared" si="7"/>
        <v>7962473.1242105365</v>
      </c>
      <c r="U29" s="47">
        <f t="shared" si="8"/>
        <v>3.3230082631955328E-3</v>
      </c>
      <c r="V29" s="19">
        <f t="shared" si="9"/>
        <v>-0.69694725658326684</v>
      </c>
      <c r="W29" s="15">
        <f t="shared" si="10"/>
        <v>2320.991688622235</v>
      </c>
      <c r="X29" s="18"/>
      <c r="Y29" s="369">
        <f>Tabelad[[#This Row],[Exp %]]*$Y$10*$AD$7/Tabelad[[#This Row],[Price Today]]</f>
        <v>4029.0090985596171</v>
      </c>
      <c r="Z29" s="260">
        <f>Tabelad[[#This Row],[Vol 10d]]/16*Tabelad[[#This Row],[Exp %]]*100</f>
        <v>1.3786116124943097</v>
      </c>
      <c r="AA29" s="18">
        <f>Tabelad[[#This Row],[Exp %]]*Tabelad[[#This Row],[Beta Adj2]]</f>
        <v>3.9324251189131239E-3</v>
      </c>
      <c r="AB29" s="35">
        <f>_xll.BDP($B29&amp;" Equity","volatility_10d")</f>
        <v>66.378967648721229</v>
      </c>
      <c r="AC29" s="35" cm="1">
        <f t="array" ref="AC29">_xll.BDP(B29&amp;" EQUITY","eqy_beta")</f>
        <v>1.183393120765686</v>
      </c>
      <c r="AD29" s="15">
        <f>Tabelad[[#This Row],[D1 P&amp;L bps]]*$AD$5/10000</f>
        <v>-79283.076089576047</v>
      </c>
      <c r="AE29" s="271"/>
      <c r="AF29" s="226" t="str">
        <f>_xll.BDP(B29&amp;" Equity","EXPECTED_REPORT_DT")</f>
        <v>30/04/2026</v>
      </c>
      <c r="AG29" s="171" t="e">
        <f>_xll.BDP(B29&amp;" Index","CHG_PCT_1D_PRE_FROM_REGULAR")/100</f>
        <v>#VALUE!</v>
      </c>
      <c r="AH29" s="19" t="e">
        <f t="shared" si="11"/>
        <v>#VALUE!</v>
      </c>
      <c r="AI29" s="431" t="str">
        <f>_xll.BDP(B29&amp;" Equity","DVD_EX_DT")</f>
        <v>15/12/2025</v>
      </c>
    </row>
    <row r="30" spans="1:35" s="58" customFormat="1">
      <c r="A30" s="467" t="s">
        <v>1770</v>
      </c>
      <c r="B30" s="417" t="s">
        <v>81</v>
      </c>
      <c r="C30" s="58" t="s">
        <v>2246</v>
      </c>
      <c r="E30" s="58" t="s">
        <v>194</v>
      </c>
      <c r="F30" s="162" t="s">
        <v>99</v>
      </c>
      <c r="G30" s="398"/>
      <c r="H30" s="468">
        <v>-1300</v>
      </c>
      <c r="I30" s="14" cm="1">
        <f t="array" ref="I30">_xll.BDP(B30&amp;" Equity","LAST_PRICE")</f>
        <v>691.7</v>
      </c>
      <c r="J30" s="469">
        <f t="shared" si="4"/>
        <v>-6.4493888162714397E-3</v>
      </c>
      <c r="K30" s="515">
        <v>696.19</v>
      </c>
      <c r="L30" s="8">
        <f>_xll.BDP(E30&amp;" Curncy","PX_LAST")</f>
        <v>1</v>
      </c>
      <c r="M30" s="470">
        <v>1</v>
      </c>
      <c r="N30" s="398">
        <f t="shared" si="5"/>
        <v>-899210.00000000012</v>
      </c>
      <c r="O30" s="471">
        <f>IFERROR(IF(Tabelad[[#This Row],[D1 Exp USD]]&lt;&gt;0,N30/$AE$7,0),"-")</f>
        <v>-3.7527062430673107E-4</v>
      </c>
      <c r="P30" s="472">
        <f>IFERROR(IF(Tabelad[[#This Row],[D1 Exp USD]]&lt;&gt;0,((I30-K30)/L30*M30*H30)/$AD$7*10000,0),"-")</f>
        <v>2.4359767285488297E-2</v>
      </c>
      <c r="Q30" s="398"/>
      <c r="R30" s="127"/>
      <c r="S30" s="472"/>
      <c r="T30" s="473">
        <f t="shared" si="7"/>
        <v>-899210.00000000012</v>
      </c>
      <c r="U30" s="474">
        <f t="shared" si="8"/>
        <v>-3.7527062430673107E-4</v>
      </c>
      <c r="V30" s="472">
        <f t="shared" si="9"/>
        <v>2.4359767285488297E-2</v>
      </c>
      <c r="W30" s="398">
        <f t="shared" si="10"/>
        <v>2320.991688622235</v>
      </c>
      <c r="X30" s="127"/>
      <c r="Y30" s="475">
        <f>Tabelad[[#This Row],[Exp %]]*$Y$10*$AD$7/Tabelad[[#This Row],[Price Today]]</f>
        <v>-454.99999999999994</v>
      </c>
      <c r="Z30" s="476">
        <f>Tabelad[[#This Row],[Vol 10d]]/16*Tabelad[[#This Row],[Exp %]]*100</f>
        <v>-0.1556879789398245</v>
      </c>
      <c r="AA30" s="127">
        <f>Tabelad[[#This Row],[Exp %]]*Tabelad[[#This Row],[Beta Adj2]]</f>
        <v>-4.4409267523002981E-4</v>
      </c>
      <c r="AB30" s="14">
        <f>_xll.BDP($B30&amp;" Equity","volatility_10d")</f>
        <v>66.378967648721229</v>
      </c>
      <c r="AC30" s="14" cm="1">
        <f t="array" ref="AC30">_xll.BDP(B30&amp;" EQUITY","eqy_beta")</f>
        <v>1.183393120765686</v>
      </c>
      <c r="AD30" s="398">
        <f>Tabelad[[#This Row],[D1 P&amp;L bps]]*$AD$5/10000</f>
        <v>5471.2891571525879</v>
      </c>
      <c r="AE30" s="331"/>
      <c r="AF30" s="477" t="str">
        <f>_xll.BDP(B30&amp;" Equity","EXPECTED_REPORT_DT")</f>
        <v>30/04/2026</v>
      </c>
      <c r="AG30" s="478" t="e">
        <f>_xll.BDP(B30&amp;" Index","CHG_PCT_1D_PRE_FROM_REGULAR")/100</f>
        <v>#VALUE!</v>
      </c>
      <c r="AH30" s="472" t="e">
        <f t="shared" si="11"/>
        <v>#VALUE!</v>
      </c>
      <c r="AI30" s="479" t="str">
        <f>_xll.BDP(B30&amp;" Equity","DVD_EX_DT")</f>
        <v>15/12/2025</v>
      </c>
    </row>
    <row r="31" spans="1:35">
      <c r="B31" s="39" t="s">
        <v>90</v>
      </c>
      <c r="C31" t="s">
        <v>2246</v>
      </c>
      <c r="E31" t="s">
        <v>194</v>
      </c>
      <c r="F31" s="21" t="s">
        <v>99</v>
      </c>
      <c r="G31" s="15"/>
      <c r="H31" s="432">
        <v>4180</v>
      </c>
      <c r="I31" s="35" cm="1">
        <f t="array" ref="I31">_xll.BDP(B31&amp;" Equity","LAST_PRICE")</f>
        <v>411.21</v>
      </c>
      <c r="J31" s="50">
        <f t="shared" si="4"/>
        <v>-2.8721921723315336E-2</v>
      </c>
      <c r="K31" s="424">
        <f>_xll.BDP(B31&amp;" equity","PX_YEST_CLOSE")</f>
        <v>423.37</v>
      </c>
      <c r="L31" s="52">
        <f>_xll.BDP(E31&amp;" Curncy","PX_LAST")</f>
        <v>1</v>
      </c>
      <c r="M31" s="51">
        <v>1</v>
      </c>
      <c r="N31" s="15">
        <f t="shared" si="5"/>
        <v>1718857.7999999998</v>
      </c>
      <c r="O31" s="351">
        <f>IFERROR(IF(Tabelad[[#This Row],[D1 Exp USD]]&lt;&gt;0,N31/$AE$7,0),"-")</f>
        <v>7.1733726237530071E-4</v>
      </c>
      <c r="P31" s="19">
        <f>IFERROR(IF(Tabelad[[#This Row],[D1 Exp USD]]&lt;&gt;0,((I31-K31)/L31*M31*H31)/$AD$7*10000,0),"-")</f>
        <v>-0.21212570488275276</v>
      </c>
      <c r="Q31" s="15">
        <f>IF(SUM(SUMIFS(Options!$AL$4:$AL$32, Options!$D$4:$D$32, B31), SUMIFS(Options!$AL$4:$AL$32, Options!$D$4:$D$32, B31 &amp; " US"))=0,0,SUM(SUMIFS(Options!$AL$4:$AL$32, Options!$D$4:$D$32, B31), SUMIFS(Options!$AL$4:$AL$32, Options!$D$4:$D$32, B31 &amp; " US")))</f>
        <v>0</v>
      </c>
      <c r="R31" s="18">
        <f t="shared" si="28"/>
        <v>0</v>
      </c>
      <c r="S31" s="19">
        <f>IF(SUM(SUMIFS(Options!$AK$4:$AK$32, Options!$D$4:$D$32, B31), SUMIFS(Options!$AK$4:$AK$32, Options!$D$4:$D$32, B31 &amp; " US"))=0,0,SUM(SUMIFS(Options!$AK$4:$AK$32, Options!$D$4:$D$32, B31), SUMIFS(Options!AK$4:$AK$32, Options!$D$4:$D$32, B31 &amp; " US")))</f>
        <v>0</v>
      </c>
      <c r="T31" s="13">
        <f t="shared" si="7"/>
        <v>1718857.7999999998</v>
      </c>
      <c r="U31" s="47">
        <f t="shared" si="8"/>
        <v>7.1733726237530071E-4</v>
      </c>
      <c r="V31" s="19">
        <f t="shared" si="9"/>
        <v>-0.21212570488275276</v>
      </c>
      <c r="W31" s="15">
        <f t="shared" si="10"/>
        <v>3904.1607719170256</v>
      </c>
      <c r="X31" s="18"/>
      <c r="Y31" s="369">
        <f>Tabelad[[#This Row],[Exp %]]*$Y$10*$AD$7/Tabelad[[#This Row],[Price Today]]</f>
        <v>1462.9999999999998</v>
      </c>
      <c r="Z31" s="260">
        <f>Tabelad[[#This Row],[Vol 10d]]/16*Tabelad[[#This Row],[Exp %]]*100</f>
        <v>0.29642122341076688</v>
      </c>
      <c r="AA31" s="18">
        <f>Tabelad[[#This Row],[Exp %]]*Tabelad[[#This Row],[Beta Adj2]]</f>
        <v>7.3024848275414478E-4</v>
      </c>
      <c r="AB31" s="35">
        <f>_xll.BDP($B31&amp;" Equity","volatility_10d")</f>
        <v>66.115895873968086</v>
      </c>
      <c r="AC31" s="35" cm="1">
        <f t="array" ref="AC31">_xll.BDP(B31&amp;" EQUITY","eqy_beta")</f>
        <v>1.0179988145828247</v>
      </c>
      <c r="AD31" s="15">
        <f>Tabelad[[#This Row],[D1 P&amp;L bps]]*$AD$5/10000</f>
        <v>-47644.177199088153</v>
      </c>
      <c r="AE31" s="271"/>
      <c r="AF31" s="226" t="str">
        <f>_xll.BDP(B31&amp;" Equity","EXPECTED_REPORT_DT")</f>
        <v>30/04/2026</v>
      </c>
      <c r="AG31" s="171" t="e">
        <f>_xll.BDP(B31&amp;" Index","CHG_PCT_1D_PRE_FROM_REGULAR")/100</f>
        <v>#VALUE!</v>
      </c>
      <c r="AH31" s="19" t="e">
        <f t="shared" si="11"/>
        <v>#VALUE!</v>
      </c>
      <c r="AI31" s="431" t="str">
        <f>_xll.BDP(B31&amp;" Equity","DVD_EX_DT")</f>
        <v>19/02/2026</v>
      </c>
    </row>
    <row r="32" spans="1:35" s="58" customFormat="1">
      <c r="A32" s="467" t="s">
        <v>1770</v>
      </c>
      <c r="B32" s="417" t="s">
        <v>90</v>
      </c>
      <c r="C32" s="58" t="s">
        <v>2246</v>
      </c>
      <c r="E32" s="58" t="s">
        <v>194</v>
      </c>
      <c r="F32" s="162" t="s">
        <v>99</v>
      </c>
      <c r="G32" s="398"/>
      <c r="H32" s="468">
        <v>-2300</v>
      </c>
      <c r="I32" s="14" cm="1">
        <f t="array" ref="I32">_xll.BDP(B32&amp;" Equity","LAST_PRICE")</f>
        <v>411.21</v>
      </c>
      <c r="J32" s="469">
        <f t="shared" si="4"/>
        <v>-9.1802804684111283E-3</v>
      </c>
      <c r="K32" s="515">
        <v>415.02</v>
      </c>
      <c r="L32" s="8">
        <f>_xll.BDP(E32&amp;" Curncy","PX_LAST")</f>
        <v>1</v>
      </c>
      <c r="M32" s="470">
        <v>1</v>
      </c>
      <c r="N32" s="398">
        <f t="shared" si="5"/>
        <v>-945783</v>
      </c>
      <c r="O32" s="471">
        <f>IFERROR(IF(Tabelad[[#This Row],[D1 Exp USD]]&lt;&gt;0,N32/$AE$7,0),"-")</f>
        <v>-3.9470710609167267E-4</v>
      </c>
      <c r="P32" s="472">
        <f>IFERROR(IF(Tabelad[[#This Row],[D1 Exp USD]]&lt;&gt;0,((I32-K32)/L32*M32*H32)/$AD$7*10000,0),"-")</f>
        <v>3.6570950954725658E-2</v>
      </c>
      <c r="Q32" s="398"/>
      <c r="R32" s="127"/>
      <c r="S32" s="472"/>
      <c r="T32" s="473">
        <f t="shared" si="7"/>
        <v>-945783</v>
      </c>
      <c r="U32" s="474">
        <f t="shared" si="8"/>
        <v>-3.9470710609167267E-4</v>
      </c>
      <c r="V32" s="472">
        <f t="shared" si="9"/>
        <v>3.6570950954725658E-2</v>
      </c>
      <c r="W32" s="398">
        <f t="shared" si="10"/>
        <v>3904.1607719170256</v>
      </c>
      <c r="X32" s="127"/>
      <c r="Y32" s="475">
        <f>Tabelad[[#This Row],[Exp %]]*$Y$10*$AD$7/Tabelad[[#This Row],[Price Today]]</f>
        <v>-805</v>
      </c>
      <c r="Z32" s="476">
        <f>Tabelad[[#This Row],[Vol 10d]]/16*Tabelad[[#This Row],[Exp %]]*100</f>
        <v>-0.16310258704420189</v>
      </c>
      <c r="AA32" s="127">
        <f>Tabelad[[#This Row],[Exp %]]*Tabelad[[#This Row],[Beta Adj2]]</f>
        <v>-4.0181136610874002E-4</v>
      </c>
      <c r="AB32" s="14">
        <f>_xll.BDP($B32&amp;" Equity","volatility_10d")</f>
        <v>66.115895873968086</v>
      </c>
      <c r="AC32" s="14" cm="1">
        <f t="array" ref="AC32">_xll.BDP(B32&amp;" EQUITY","eqy_beta")</f>
        <v>1.0179988145828247</v>
      </c>
      <c r="AD32" s="398">
        <f>Tabelad[[#This Row],[D1 P&amp;L bps]]*$AD$5/10000</f>
        <v>8213.96383144219</v>
      </c>
      <c r="AE32" s="331"/>
      <c r="AF32" s="477" t="str">
        <f>_xll.BDP(B32&amp;" Equity","EXPECTED_REPORT_DT")</f>
        <v>30/04/2026</v>
      </c>
      <c r="AG32" s="478" t="e">
        <f>_xll.BDP(B32&amp;" Index","CHG_PCT_1D_PRE_FROM_REGULAR")/100</f>
        <v>#VALUE!</v>
      </c>
      <c r="AH32" s="472" t="e">
        <f t="shared" si="11"/>
        <v>#VALUE!</v>
      </c>
      <c r="AI32" s="479" t="str">
        <f>_xll.BDP(B32&amp;" Equity","DVD_EX_DT")</f>
        <v>19/02/2026</v>
      </c>
    </row>
    <row r="33" spans="1:35" s="58" customFormat="1">
      <c r="A33" s="467" t="s">
        <v>1770</v>
      </c>
      <c r="B33" s="417" t="s">
        <v>89</v>
      </c>
      <c r="C33" s="58" t="s">
        <v>2246</v>
      </c>
      <c r="E33" s="58" t="s">
        <v>194</v>
      </c>
      <c r="F33" s="162" t="s">
        <v>99</v>
      </c>
      <c r="G33" s="398"/>
      <c r="H33" s="468">
        <v>-12500</v>
      </c>
      <c r="I33" s="14" cm="1">
        <f t="array" ref="I33">_xll.BDP(B33&amp;" Equity","LAST_PRICE")</f>
        <v>85.39</v>
      </c>
      <c r="J33" s="469">
        <f t="shared" si="4"/>
        <v>-1.601751555657982E-2</v>
      </c>
      <c r="K33" s="515">
        <v>86.78</v>
      </c>
      <c r="L33" s="8">
        <f>_xll.BDP(E33&amp;" Curncy","PX_LAST")</f>
        <v>1</v>
      </c>
      <c r="M33" s="470">
        <v>1</v>
      </c>
      <c r="N33" s="398">
        <f t="shared" si="5"/>
        <v>-1067375</v>
      </c>
      <c r="O33" s="471">
        <f>IFERROR(IF(Tabelad[[#This Row],[D1 Exp USD]]&lt;&gt;0,N33/$AE$7,0),"-")</f>
        <v>-4.4545154370991983E-4</v>
      </c>
      <c r="P33" s="472">
        <f>IFERROR(IF(Tabelad[[#This Row],[D1 Exp USD]]&lt;&gt;0,((I33-K33)/L33*M33*H33)/$AD$7*10000,0),"-")</f>
        <v>7.2511728042720325E-2</v>
      </c>
      <c r="Q33" s="398"/>
      <c r="R33" s="127"/>
      <c r="S33" s="472"/>
      <c r="T33" s="473">
        <f t="shared" si="7"/>
        <v>-1067375</v>
      </c>
      <c r="U33" s="474">
        <f t="shared" si="8"/>
        <v>-4.4545154370991983E-4</v>
      </c>
      <c r="V33" s="472">
        <f t="shared" si="9"/>
        <v>7.2511728042720325E-2</v>
      </c>
      <c r="W33" s="398">
        <f t="shared" si="10"/>
        <v>18801.147101768358</v>
      </c>
      <c r="X33" s="127"/>
      <c r="Y33" s="475">
        <f>Tabelad[[#This Row],[Exp %]]*$Y$10*$AD$7/Tabelad[[#This Row],[Price Today]]</f>
        <v>-4374.9999999999991</v>
      </c>
      <c r="Z33" s="476">
        <f>Tabelad[[#This Row],[Vol 10d]]/16*Tabelad[[#This Row],[Exp %]]*100</f>
        <v>-0.10852502227424748</v>
      </c>
      <c r="AA33" s="127">
        <f>Tabelad[[#This Row],[Exp %]]*Tabelad[[#This Row],[Beta Adj2]]</f>
        <v>-4.449631649649004E-4</v>
      </c>
      <c r="AB33" s="14">
        <f>_xll.BDP($B33&amp;" Equity","volatility_10d")</f>
        <v>38.980678839418552</v>
      </c>
      <c r="AC33" s="14">
        <f>_xll.BDP(B33&amp;" EQUITY","eqy_beta")</f>
        <v>0.99890363216400146</v>
      </c>
      <c r="AD33" s="398">
        <f>Tabelad[[#This Row],[D1 P&amp;L bps]]*$AD$5/10000</f>
        <v>16286.388402522885</v>
      </c>
      <c r="AE33" s="331"/>
      <c r="AF33" s="477" t="str">
        <f>_xll.BDP(B33&amp;" Equity","EXPECTED_REPORT_DT")</f>
        <v>#N/A N/A</v>
      </c>
      <c r="AG33" s="478">
        <f>_xll.BDP(B33&amp;" Index","CHG_PCT_1D_PRE_FROM_REGULAR")/100</f>
        <v>-2.680942E-3</v>
      </c>
      <c r="AH33" s="472">
        <f t="shared" si="11"/>
        <v>1.19422975249676E-2</v>
      </c>
      <c r="AI33" s="479" t="str">
        <f>_xll.BDP(B33&amp;" Equity","DVD_EX_DT")</f>
        <v>21/03/2024</v>
      </c>
    </row>
    <row r="34" spans="1:35">
      <c r="B34" s="39" t="s">
        <v>89</v>
      </c>
      <c r="C34" t="s">
        <v>2246</v>
      </c>
      <c r="E34" t="s">
        <v>194</v>
      </c>
      <c r="F34" s="21" t="s">
        <v>99</v>
      </c>
      <c r="G34" s="15"/>
      <c r="H34" s="432">
        <v>-7500</v>
      </c>
      <c r="I34" s="35" cm="1">
        <f t="array" ref="I34">_xll.BDP(B34&amp;" Equity","LAST_PRICE")</f>
        <v>85.39</v>
      </c>
      <c r="J34" s="50">
        <f t="shared" si="4"/>
        <v>-4.6134941912421734E-2</v>
      </c>
      <c r="K34" s="424">
        <f>_xll.BDP(B34&amp;" equity","PX_YEST_CLOSE")</f>
        <v>89.52</v>
      </c>
      <c r="L34" s="52">
        <f>_xll.BDP(E34&amp;" Curncy","PX_LAST")</f>
        <v>1</v>
      </c>
      <c r="M34" s="51">
        <v>1</v>
      </c>
      <c r="N34" s="15">
        <f t="shared" si="5"/>
        <v>-640425</v>
      </c>
      <c r="O34" s="351">
        <f>IFERROR(IF(Tabelad[[#This Row],[D1 Exp USD]]&lt;&gt;0,N34/$AE$7,0),"-")</f>
        <v>-2.672709262259519E-4</v>
      </c>
      <c r="P34" s="19">
        <f>IFERROR(IF(Tabelad[[#This Row],[D1 Exp USD]]&lt;&gt;0,((I34-K34)/L34*M34*H34)/$AD$7*10000,0),"-")</f>
        <v>0.12926910941716596</v>
      </c>
      <c r="Q34" s="15">
        <f>IF(SUM(SUMIFS(Options!$AL$4:$AL$32, Options!$D$4:$D$32, B34), SUMIFS(Options!$AL$4:$AL$32, Options!$D$4:$D$32, B34 &amp; " US"))=0,0,SUM(SUMIFS(Options!$AL$4:$AL$32, Options!$D$4:$D$32, B34), SUMIFS(Options!$AL$4:$AL$32, Options!$D$4:$D$32, B34 &amp; " US")))</f>
        <v>0</v>
      </c>
      <c r="R34" s="18">
        <f>Q34/$AE$7</f>
        <v>0</v>
      </c>
      <c r="S34" s="19">
        <f>IF(SUM(SUMIFS(Options!$AK$4:$AK$32, Options!$D$4:$D$32, B34), SUMIFS(Options!$AK$4:$AK$32, Options!$D$4:$D$32, B34 &amp; " US"))=0,0,SUM(SUMIFS(Options!$AK$4:$AK$32, Options!$D$4:$D$32, B34), SUMIFS(Options!AK$4:$AK$32, Options!$D$4:$D$32, B34 &amp; " US")))</f>
        <v>0</v>
      </c>
      <c r="T34" s="13">
        <f t="shared" si="7"/>
        <v>-640425</v>
      </c>
      <c r="U34" s="47">
        <f t="shared" si="8"/>
        <v>-2.672709262259519E-4</v>
      </c>
      <c r="V34" s="19">
        <f t="shared" si="9"/>
        <v>0.12926910941716596</v>
      </c>
      <c r="W34" s="15">
        <f t="shared" si="10"/>
        <v>18801.147101768358</v>
      </c>
      <c r="X34" s="18"/>
      <c r="Y34" s="369">
        <f>Tabelad[[#This Row],[Exp %]]*$Y$10*$AD$7/Tabelad[[#This Row],[Price Today]]</f>
        <v>-2624.9999999999995</v>
      </c>
      <c r="Z34" s="260">
        <f>Tabelad[[#This Row],[Vol 10d]]/16*Tabelad[[#This Row],[Exp %]]*100</f>
        <v>-6.5115013364548502E-2</v>
      </c>
      <c r="AA34" s="18">
        <f>Tabelad[[#This Row],[Exp %]]*Tabelad[[#This Row],[Beta Adj2]]</f>
        <v>-2.6697789897894023E-4</v>
      </c>
      <c r="AB34" s="35">
        <f>_xll.BDP($B34&amp;" Equity","volatility_10d")</f>
        <v>38.980678839418552</v>
      </c>
      <c r="AC34" s="35">
        <f>_xll.BDP(B34&amp;" EQUITY","eqy_beta")</f>
        <v>0.99890363216400146</v>
      </c>
      <c r="AD34" s="15">
        <f>Tabelad[[#This Row],[D1 P&amp;L bps]]*$AD$5/10000</f>
        <v>29034.295296008379</v>
      </c>
      <c r="AE34" s="271"/>
      <c r="AF34" s="226" t="str">
        <f>_xll.BDP(B34&amp;" Equity","EXPECTED_REPORT_DT")</f>
        <v>#N/A N/A</v>
      </c>
      <c r="AG34" s="171">
        <f>_xll.BDP(B34&amp;" Index","CHG_PCT_1D_PRE_FROM_REGULAR")/100</f>
        <v>-2.680942E-3</v>
      </c>
      <c r="AH34" s="19">
        <f t="shared" si="11"/>
        <v>7.1653785149805591E-3</v>
      </c>
      <c r="AI34" s="431" t="str">
        <f>_xll.BDP(B34&amp;" Equity","DVD_EX_DT")</f>
        <v>21/03/2024</v>
      </c>
    </row>
    <row r="35" spans="1:35">
      <c r="B35" s="429" t="s">
        <v>2268</v>
      </c>
      <c r="C35" t="s">
        <v>2134</v>
      </c>
      <c r="E35" t="s">
        <v>2107</v>
      </c>
      <c r="F35" s="21" t="s">
        <v>99</v>
      </c>
      <c r="G35" s="15"/>
      <c r="H35" s="432">
        <v>1393</v>
      </c>
      <c r="I35" s="35" cm="1">
        <f t="array" ref="I35">_xll.BDP(B35&amp;" Equity","LAST_PRICE")</f>
        <v>907000</v>
      </c>
      <c r="J35" s="50">
        <f t="shared" si="4"/>
        <v>9.2771084337349485E-2</v>
      </c>
      <c r="K35" s="424">
        <f>_xll.BDP(B35&amp;" equity","PX_YEST_CLOSE")</f>
        <v>830000</v>
      </c>
      <c r="L35" s="52">
        <f>_xll.BDP(E35&amp;" Curncy","PX_LAST")</f>
        <v>1447.45</v>
      </c>
      <c r="M35" s="51">
        <v>1</v>
      </c>
      <c r="N35" s="15">
        <f t="shared" si="5"/>
        <v>872880.58309440734</v>
      </c>
      <c r="O35" s="351">
        <f>IFERROR(IF(Tabelad[[#This Row],[D1 Exp USD]]&lt;&gt;0,N35/$AE$7,0),"-")</f>
        <v>3.6428247168410232E-4</v>
      </c>
      <c r="P35" s="19">
        <f>IFERROR(IF(Tabelad[[#This Row],[D1 Exp USD]]&lt;&gt;0,((I35-K35)/L35*M35*H35)/$AD$7*10000,0),"-")</f>
        <v>0.3092585481772423</v>
      </c>
      <c r="Q35" s="15">
        <f>IF(SUM(SUMIFS(Options!$AL$4:$AL$32, Options!$D$4:$D$32, B35), SUMIFS(Options!$AL$4:$AL$32, Options!$D$4:$D$32, B35 &amp; " US"))=0,0,SUM(SUMIFS(Options!$AL$4:$AL$32, Options!$D$4:$D$32, B35), SUMIFS(Options!$AL$4:$AL$32, Options!$D$4:$D$32, B35 &amp; " US")))</f>
        <v>0</v>
      </c>
      <c r="R35" s="18">
        <f t="shared" si="28"/>
        <v>0</v>
      </c>
      <c r="S35" s="19">
        <f>IF(SUM(SUMIFS(Options!$AK$4:$AK$32, Options!$D$4:$D$32, B35), SUMIFS(Options!$AK$4:$AK$32, Options!$D$4:$D$32, B35 &amp; " US"))=0,0,SUM(SUMIFS(Options!$AK$4:$AK$32, Options!$D$4:$D$32, B35), SUMIFS(Options!AK$4:$AK$32, Options!$D$4:$D$32, B35 &amp; " US")))</f>
        <v>0</v>
      </c>
      <c r="T35" s="13">
        <f t="shared" si="7"/>
        <v>872880.58309440734</v>
      </c>
      <c r="U35" s="47">
        <f t="shared" si="8"/>
        <v>3.6428247168410232E-4</v>
      </c>
      <c r="V35" s="19">
        <f t="shared" si="9"/>
        <v>0.3092585481772423</v>
      </c>
      <c r="W35" s="15">
        <f t="shared" si="10"/>
        <v>2562.0502564541334</v>
      </c>
      <c r="X35" s="18"/>
      <c r="Y35" s="369">
        <f>Tabelad[[#This Row],[Exp %]]*$Y$10*$AD$7/Tabelad[[#This Row],[Price Today]]</f>
        <v>0.33683374209817263</v>
      </c>
      <c r="Z35" s="260">
        <f>Tabelad[[#This Row],[Vol 10d]]/16*Tabelad[[#This Row],[Exp %]]*100</f>
        <v>0.21262509886986575</v>
      </c>
      <c r="AA35" s="18">
        <f>Tabelad[[#This Row],[Exp %]]*Tabelad[[#This Row],[Beta Adj2]]</f>
        <v>6.0748692112467281E-4</v>
      </c>
      <c r="AB35" s="35">
        <f>_xll.BDP($B35&amp;" Equity","volatility_10d")</f>
        <v>93.389110000000002</v>
      </c>
      <c r="AC35" s="35">
        <f>_xll.BDP(B35&amp;" EQUITY","eqy_beta")</f>
        <v>1.6676260000000001</v>
      </c>
      <c r="AD35" s="15">
        <f>Tabelad[[#This Row],[D1 P&amp;L bps]]*$AD$5/10000</f>
        <v>69460.554428485368</v>
      </c>
      <c r="AE35" s="271"/>
      <c r="AF35" s="226" t="str">
        <f>_xll.BDP(B35&amp;" Equity","EXPECTED_REPORT_DT")</f>
        <v>23/04/2026</v>
      </c>
      <c r="AG35" s="171" t="e">
        <f>_xll.BDP(B35&amp;" Index","CHG_PCT_1D_PRE_FROM_REGULAR")/100</f>
        <v>#VALUE!</v>
      </c>
      <c r="AH35" s="19" t="e">
        <f t="shared" si="11"/>
        <v>#VALUE!</v>
      </c>
      <c r="AI35" s="431" t="str">
        <f>_xll.BDP(B35&amp;" Equity","DVD_EX_DT")</f>
        <v>26/02/2026</v>
      </c>
    </row>
    <row r="36" spans="1:35">
      <c r="B36" s="429" t="s">
        <v>2473</v>
      </c>
      <c r="C36" t="s">
        <v>2134</v>
      </c>
      <c r="E36" t="s">
        <v>2107</v>
      </c>
      <c r="F36" s="21" t="s">
        <v>99</v>
      </c>
      <c r="G36" s="15"/>
      <c r="H36" s="432">
        <v>285</v>
      </c>
      <c r="I36" s="35" cm="1">
        <f t="array" ref="I36">_xll.BDP(B36&amp;" Equity","LAST_PRICE")</f>
        <v>546000</v>
      </c>
      <c r="J36" s="50">
        <f t="shared" si="4"/>
        <v>8.118811881188126E-2</v>
      </c>
      <c r="K36" s="424">
        <f>_xll.BDP(B36&amp;" equity","PX_YEST_CLOSE")</f>
        <v>505000</v>
      </c>
      <c r="L36" s="52">
        <f>_xll.BDP(E36&amp;" Curncy","PX_LAST")</f>
        <v>1447.45</v>
      </c>
      <c r="M36" s="51">
        <v>1</v>
      </c>
      <c r="N36" s="15">
        <f t="shared" si="5"/>
        <v>107506.30419012746</v>
      </c>
      <c r="O36" s="351">
        <f>IFERROR(IF(Tabelad[[#This Row],[D1 Exp USD]]&lt;&gt;0,N36/$AE$7,0),"-")</f>
        <v>4.486600225791357E-5</v>
      </c>
      <c r="P36" s="19">
        <f>IFERROR(IF(Tabelad[[#This Row],[D1 Exp USD]]&lt;&gt;0,((I36-K36)/L36*M36*H36)/$AD$7*10000,0),"-")</f>
        <v>3.3690587776088951E-2</v>
      </c>
      <c r="Q36" s="15">
        <f>IF(SUM(SUMIFS(Options!$AL$4:$AL$32, Options!$D$4:$D$32, B36), SUMIFS(Options!$AL$4:$AL$32, Options!$D$4:$D$32, B36 &amp; " US"))=0,0,SUM(SUMIFS(Options!$AL$4:$AL$32, Options!$D$4:$D$32, B36), SUMIFS(Options!$AL$4:$AL$32, Options!$D$4:$D$32, B36 &amp; " US")))</f>
        <v>0</v>
      </c>
      <c r="R36" s="18">
        <f t="shared" si="28"/>
        <v>0</v>
      </c>
      <c r="S36" s="19">
        <f>IF(SUM(SUMIFS(Options!$AK$4:$AK$32, Options!$D$4:$D$32, B36), SUMIFS(Options!$AK$4:$AK$32, Options!$D$4:$D$32, B36 &amp; " US"))=0,0,SUM(SUMIFS(Options!$AK$4:$AK$32, Options!$D$4:$D$32, B36), SUMIFS(Options!AK$4:$AK$32, Options!$D$4:$D$32, B36 &amp; " US")))</f>
        <v>0</v>
      </c>
      <c r="T36" s="13">
        <f t="shared" si="7"/>
        <v>107506.30419012746</v>
      </c>
      <c r="U36" s="47">
        <f t="shared" si="8"/>
        <v>4.486600225791357E-5</v>
      </c>
      <c r="V36" s="19">
        <f t="shared" si="9"/>
        <v>3.3690587776088951E-2</v>
      </c>
      <c r="W36" s="15">
        <f t="shared" si="10"/>
        <v>4256.0065615456024</v>
      </c>
      <c r="X36" s="18"/>
      <c r="Y36" s="369">
        <f>Tabelad[[#This Row],[Exp %]]*$Y$10*$AD$7/Tabelad[[#This Row],[Price Today]]</f>
        <v>6.8914297557773993E-2</v>
      </c>
      <c r="Z36" s="260">
        <f>Tabelad[[#This Row],[Vol 10d]]/16*Tabelad[[#This Row],[Exp %]]*100</f>
        <v>2.8874356990622616E-2</v>
      </c>
      <c r="AA36" s="18">
        <f>Tabelad[[#This Row],[Exp %]]*Tabelad[[#This Row],[Beta Adj2]]</f>
        <v>8.8836658574768207E-5</v>
      </c>
      <c r="AB36" s="35">
        <f>_xll.BDP($B36&amp;" Equity","volatility_10d")</f>
        <v>102.971</v>
      </c>
      <c r="AC36" s="35">
        <f>_xll.BDP(B36&amp;" EQUITY","eqy_beta")</f>
        <v>1.9800439999999999</v>
      </c>
      <c r="AD36" s="15">
        <f>Tabelad[[#This Row],[D1 P&amp;L bps]]*$AD$5/10000</f>
        <v>7567.0241606627915</v>
      </c>
      <c r="AE36" s="271"/>
      <c r="AF36" s="226" t="str">
        <f>_xll.BDP(B36&amp;" Equity","EXPECTED_REPORT_DT")</f>
        <v>11/03/2026</v>
      </c>
      <c r="AG36" s="171" t="e">
        <f>_xll.BDP(B36&amp;" Index","CHG_PCT_1D_PRE_FROM_REGULAR")/100</f>
        <v>#VALUE!</v>
      </c>
      <c r="AH36" s="19" t="e">
        <f t="shared" si="11"/>
        <v>#VALUE!</v>
      </c>
      <c r="AI36" s="431" t="str">
        <f>_xll.BDP(B36&amp;" Equity","DVD_EX_DT")</f>
        <v>#N/A N/A</v>
      </c>
    </row>
    <row r="37" spans="1:35">
      <c r="B37" s="429" t="s">
        <v>2474</v>
      </c>
      <c r="C37" t="s">
        <v>2134</v>
      </c>
      <c r="E37" t="s">
        <v>2107</v>
      </c>
      <c r="F37" s="21" t="s">
        <v>99</v>
      </c>
      <c r="G37" s="15"/>
      <c r="H37" s="432">
        <v>6180</v>
      </c>
      <c r="I37" s="35" cm="1">
        <f t="array" ref="I37">_xll.BDP(B37&amp;" Equity","LAST_PRICE")</f>
        <v>167500</v>
      </c>
      <c r="J37" s="50">
        <f t="shared" si="4"/>
        <v>0.11369680851063824</v>
      </c>
      <c r="K37" s="424">
        <f>_xll.BDP(B37&amp;" equity","PX_YEST_CLOSE")</f>
        <v>150400</v>
      </c>
      <c r="L37" s="52">
        <f>_xll.BDP(E37&amp;" Curncy","PX_LAST")</f>
        <v>1447.45</v>
      </c>
      <c r="M37" s="51">
        <v>1</v>
      </c>
      <c r="N37" s="15">
        <f t="shared" si="5"/>
        <v>715154.23676120071</v>
      </c>
      <c r="O37" s="351">
        <f>IFERROR(IF(Tabelad[[#This Row],[D1 Exp USD]]&lt;&gt;0,N37/$AE$7,0),"-")</f>
        <v>2.984579540985749E-4</v>
      </c>
      <c r="P37" s="19">
        <f>IFERROR(IF(Tabelad[[#This Row],[D1 Exp USD]]&lt;&gt;0,((I37-K37)/L37*M37*H37)/$AD$7*10000,0),"-")</f>
        <v>0.30469438896033613</v>
      </c>
      <c r="Q37" s="15">
        <f>IF(SUM(SUMIFS(Options!$AL$4:$AL$32, Options!$D$4:$D$32, B37), SUMIFS(Options!$AL$4:$AL$32, Options!$D$4:$D$32, B37 &amp; " US"))=0,0,SUM(SUMIFS(Options!$AL$4:$AL$32, Options!$D$4:$D$32, B37), SUMIFS(Options!$AL$4:$AL$32, Options!$D$4:$D$32, B37 &amp; " US")))</f>
        <v>0</v>
      </c>
      <c r="R37" s="18">
        <f>Q37/$AE$7</f>
        <v>0</v>
      </c>
      <c r="S37" s="19">
        <f>IF(SUM(SUMIFS(Options!$AK$4:$AK$32, Options!$D$4:$D$32, B37), SUMIFS(Options!$AK$4:$AK$32, Options!$D$4:$D$32, B37 &amp; " US"))=0,0,SUM(SUMIFS(Options!$AK$4:$AK$32, Options!$D$4:$D$32, B37), SUMIFS(Options!AK$4:$AK$32, Options!$D$4:$D$32, B37 &amp; " US")))</f>
        <v>0</v>
      </c>
      <c r="T37" s="13">
        <f t="shared" si="7"/>
        <v>715154.23676120071</v>
      </c>
      <c r="U37" s="47">
        <f t="shared" si="8"/>
        <v>2.984579540985749E-4</v>
      </c>
      <c r="V37" s="19">
        <f t="shared" si="9"/>
        <v>0.30469438896033613</v>
      </c>
      <c r="W37" s="15">
        <f t="shared" si="10"/>
        <v>13873.3109409188</v>
      </c>
      <c r="X37" s="18"/>
      <c r="Y37" s="369">
        <f>Tabelad[[#This Row],[Exp %]]*$Y$10*$AD$7/Tabelad[[#This Row],[Price Today]]</f>
        <v>1.4943521365159418</v>
      </c>
      <c r="Z37" s="260">
        <f>Tabelad[[#This Row],[Vol 10d]]/16*Tabelad[[#This Row],[Exp %]]*100</f>
        <v>0.14037218130054585</v>
      </c>
      <c r="AA37" s="18">
        <f>Tabelad[[#This Row],[Exp %]]*Tabelad[[#This Row],[Beta Adj2]]</f>
        <v>3.4702303238949502E-4</v>
      </c>
      <c r="AB37" s="35">
        <f>_xll.BDP($B37&amp;" Equity","volatility_10d")</f>
        <v>75.25197</v>
      </c>
      <c r="AC37" s="35">
        <f>_xll.BDP(B37&amp;" EQUITY","eqy_beta")</f>
        <v>1.16272</v>
      </c>
      <c r="AD37" s="15">
        <f>Tabelad[[#This Row],[D1 P&amp;L bps]]*$AD$5/10000</f>
        <v>68435.428262774702</v>
      </c>
      <c r="AE37" s="271"/>
      <c r="AF37" s="226" t="str">
        <f>_xll.BDP(B37&amp;" Equity","EXPECTED_REPORT_DT")</f>
        <v>07/04/2026</v>
      </c>
      <c r="AG37" s="171" t="e">
        <f>_xll.BDP(B37&amp;" Index","CHG_PCT_1D_PRE_FROM_REGULAR")/100</f>
        <v>#VALUE!</v>
      </c>
      <c r="AH37" s="19" t="e">
        <f t="shared" si="11"/>
        <v>#VALUE!</v>
      </c>
      <c r="AI37" s="431" t="str">
        <f>_xll.BDP(B37&amp;" Equity","DVD_EX_DT")</f>
        <v>29/12/2025</v>
      </c>
    </row>
    <row r="38" spans="1:35">
      <c r="B38" s="39" t="s">
        <v>1754</v>
      </c>
      <c r="C38" t="s">
        <v>2134</v>
      </c>
      <c r="E38" t="s">
        <v>194</v>
      </c>
      <c r="F38" s="21" t="s">
        <v>99</v>
      </c>
      <c r="G38" s="15"/>
      <c r="H38" s="432">
        <v>64300</v>
      </c>
      <c r="I38" s="35" cm="1">
        <f t="array" ref="I38">_xll.BDP(B38&amp;" Equity","LAST_PRICE")</f>
        <v>124.32</v>
      </c>
      <c r="J38" s="50">
        <f t="shared" si="4"/>
        <v>2.8032746216819504E-2</v>
      </c>
      <c r="K38" s="424">
        <f>_xll.BDP(B38&amp;" equity","PX_YEST_CLOSE")</f>
        <v>120.93</v>
      </c>
      <c r="L38" s="52">
        <f>_xll.BDP(E38&amp;" Curncy","PX_LAST")</f>
        <v>1</v>
      </c>
      <c r="M38" s="51">
        <v>1</v>
      </c>
      <c r="N38" s="15">
        <f t="shared" si="5"/>
        <v>7993776</v>
      </c>
      <c r="O38" s="351">
        <f>IFERROR(IF(Tabelad[[#This Row],[D1 Exp USD]]&lt;&gt;0,N38/$AE$7,0),"-")</f>
        <v>3.3360720077492056E-3</v>
      </c>
      <c r="P38" s="19">
        <f>IFERROR(IF(Tabelad[[#This Row],[D1 Exp USD]]&lt;&gt;0,((I38-K38)/L38*M38*H38)/$AD$7*10000,0),"-")</f>
        <v>0.909691449989524</v>
      </c>
      <c r="Q38" s="15">
        <f>IF(SUM(SUMIFS(Options!$AL$4:$AL$32, Options!$D$4:$D$32, B38), SUMIFS(Options!$AL$4:$AL$32, Options!$D$4:$D$32, B38 &amp; " US"))=0,0,SUM(SUMIFS(Options!$AL$4:$AL$32, Options!$D$4:$D$32, B38), SUMIFS(Options!$AL$4:$AL$32, Options!$D$4:$D$32, B38 &amp; " US")))</f>
        <v>0</v>
      </c>
      <c r="R38" s="18">
        <f t="shared" si="28"/>
        <v>0</v>
      </c>
      <c r="S38" s="19">
        <f>IF(SUM(SUMIFS(Options!$AK$4:$AK$32, Options!$D$4:$D$32, B38), SUMIFS(Options!$AK$4:$AK$32, Options!$D$4:$D$32, B38 &amp; " US"))=0,0,SUM(SUMIFS(Options!$AK$4:$AK$32, Options!$D$4:$D$32, B38), SUMIFS(Options!AK$4:$AK$32, Options!$D$4:$D$32, B38 &amp; " US")))</f>
        <v>0</v>
      </c>
      <c r="T38" s="13">
        <f t="shared" si="7"/>
        <v>7993776</v>
      </c>
      <c r="U38" s="47">
        <f t="shared" si="8"/>
        <v>3.3360720077492056E-3</v>
      </c>
      <c r="V38" s="19">
        <f t="shared" si="9"/>
        <v>0.909691449989524</v>
      </c>
      <c r="W38" s="15">
        <f t="shared" si="10"/>
        <v>12913.690082207208</v>
      </c>
      <c r="X38" s="18"/>
      <c r="Y38" s="369">
        <f>Tabelad[[#This Row],[Exp %]]*$Y$10*$AD$7/Tabelad[[#This Row],[Price Today]]</f>
        <v>22505</v>
      </c>
      <c r="Z38" s="260">
        <f>Tabelad[[#This Row],[Vol 10d]]/16*Tabelad[[#This Row],[Exp %]]*100</f>
        <v>0.70901902642473014</v>
      </c>
      <c r="AA38" s="18">
        <f>Tabelad[[#This Row],[Exp %]]*Tabelad[[#This Row],[Beta Adj2]]</f>
        <v>3.0824558520144473E-3</v>
      </c>
      <c r="AB38" s="35">
        <f>_xll.BDP($B38&amp;" Equity","volatility_10d")</f>
        <v>34.004974702118325</v>
      </c>
      <c r="AC38" s="35">
        <f>_xll.BDP(B38&amp;" EQUITY","eqy_beta")</f>
        <v>0.92397761344909668</v>
      </c>
      <c r="AD38" s="15">
        <f>Tabelad[[#This Row],[D1 P&amp;L bps]]*$AD$5/10000</f>
        <v>204319.88977362393</v>
      </c>
      <c r="AE38" s="271"/>
      <c r="AF38" s="226" t="str">
        <f>_xll.BDP(B38&amp;" Equity","EXPECTED_REPORT_DT")</f>
        <v>#N/A N/A</v>
      </c>
      <c r="AG38" s="171">
        <f>_xll.BDP(B38&amp;" Index","CHG_PCT_1D_PRE_FROM_REGULAR")/100</f>
        <v>4.258663E-2</v>
      </c>
      <c r="AH38" s="19">
        <f t="shared" si="11"/>
        <v>1.4207206424737253</v>
      </c>
      <c r="AI38" s="431" t="str">
        <f>_xll.BDP(B38&amp;" Equity","DVD_EX_DT")</f>
        <v>16/12/2025</v>
      </c>
    </row>
    <row r="39" spans="1:35" s="58" customFormat="1">
      <c r="A39" s="467" t="s">
        <v>1770</v>
      </c>
      <c r="B39" s="417" t="s">
        <v>1754</v>
      </c>
      <c r="C39" s="58" t="s">
        <v>2134</v>
      </c>
      <c r="E39" s="58" t="s">
        <v>194</v>
      </c>
      <c r="F39" s="162" t="s">
        <v>99</v>
      </c>
      <c r="G39" s="398"/>
      <c r="H39" s="468">
        <v>-26000</v>
      </c>
      <c r="I39" s="14" cm="1">
        <f t="array" ref="I39">_xll.BDP(B39&amp;" Equity","LAST_PRICE")</f>
        <v>124.32</v>
      </c>
      <c r="J39" s="469">
        <f t="shared" si="4"/>
        <v>-6.5526610196580126E-3</v>
      </c>
      <c r="K39" s="515">
        <v>125.14</v>
      </c>
      <c r="L39" s="8">
        <f>_xll.BDP(E39&amp;" Curncy","PX_LAST")</f>
        <v>1</v>
      </c>
      <c r="M39" s="470">
        <v>1</v>
      </c>
      <c r="N39" s="398">
        <f t="shared" si="5"/>
        <v>-3232320</v>
      </c>
      <c r="O39" s="471">
        <f>IFERROR(IF(Tabelad[[#This Row],[D1 Exp USD]]&lt;&gt;0,N39/$AE$7,0),"-")</f>
        <v>-1.3489560217959462E-3</v>
      </c>
      <c r="P39" s="472">
        <f>IFERROR(IF(Tabelad[[#This Row],[D1 Exp USD]]&lt;&gt;0,((I39-K39)/L39*M39*H39)/$AD$7*10000,0),"-")</f>
        <v>8.8975541978176143E-2</v>
      </c>
      <c r="Q39" s="398"/>
      <c r="R39" s="127"/>
      <c r="S39" s="472"/>
      <c r="T39" s="473">
        <f t="shared" si="7"/>
        <v>-3232320</v>
      </c>
      <c r="U39" s="474">
        <f t="shared" si="8"/>
        <v>-1.3489560217959462E-3</v>
      </c>
      <c r="V39" s="472">
        <f t="shared" si="9"/>
        <v>8.8975541978176143E-2</v>
      </c>
      <c r="W39" s="398">
        <f t="shared" si="10"/>
        <v>12913.690082207208</v>
      </c>
      <c r="X39" s="127"/>
      <c r="Y39" s="475">
        <f>Tabelad[[#This Row],[Exp %]]*$Y$10*$AD$7/Tabelad[[#This Row],[Price Today]]</f>
        <v>-9100</v>
      </c>
      <c r="Z39" s="476">
        <f>Tabelad[[#This Row],[Vol 10d]]/16*Tabelad[[#This Row],[Exp %]]*100</f>
        <v>-0.28669509622150829</v>
      </c>
      <c r="AA39" s="127">
        <f>Tabelad[[#This Row],[Exp %]]*Tabelad[[#This Row],[Beta Adj2]]</f>
        <v>-1.2464051656668061E-3</v>
      </c>
      <c r="AB39" s="14">
        <f>_xll.BDP($B39&amp;" Equity","volatility_10d")</f>
        <v>34.004974702118325</v>
      </c>
      <c r="AC39" s="14">
        <f>_xll.BDP(B39&amp;" EQUITY","eqy_beta")</f>
        <v>0.92397761344909668</v>
      </c>
      <c r="AD39" s="398">
        <f>Tabelad[[#This Row],[D1 P&amp;L bps]]*$AD$5/10000</f>
        <v>19984.21874772897</v>
      </c>
      <c r="AE39" s="331"/>
      <c r="AF39" s="477" t="str">
        <f>_xll.BDP(B39&amp;" Equity","EXPECTED_REPORT_DT")</f>
        <v>#N/A N/A</v>
      </c>
      <c r="AG39" s="478">
        <f>_xll.BDP(B39&amp;" Index","CHG_PCT_1D_PRE_FROM_REGULAR")/100</f>
        <v>4.258663E-2</v>
      </c>
      <c r="AH39" s="472">
        <f t="shared" si="11"/>
        <v>-0.57447490986495897</v>
      </c>
      <c r="AI39" s="479" t="str">
        <f>_xll.BDP(B39&amp;" Equity","DVD_EX_DT")</f>
        <v>16/12/2025</v>
      </c>
    </row>
    <row r="40" spans="1:35">
      <c r="B40" s="39" t="s">
        <v>2063</v>
      </c>
      <c r="C40" t="s">
        <v>2064</v>
      </c>
      <c r="E40" t="s">
        <v>194</v>
      </c>
      <c r="F40" s="21" t="s">
        <v>99</v>
      </c>
      <c r="G40" s="15"/>
      <c r="H40" s="432"/>
      <c r="I40" s="35" cm="1">
        <f t="array" ref="I40">_xll.BDP(B40&amp;" Equity","LAST_PRICE")</f>
        <v>435.1</v>
      </c>
      <c r="J40" s="50">
        <f t="shared" si="4"/>
        <v>2.7584903877946321E-2</v>
      </c>
      <c r="K40" s="424">
        <f>_xll.BDP(B40&amp;" equity","PX_YEST_CLOSE")</f>
        <v>423.42</v>
      </c>
      <c r="L40" s="52">
        <f>_xll.BDP(E40&amp;" Curncy","PX_LAST")</f>
        <v>1</v>
      </c>
      <c r="M40" s="51">
        <v>1</v>
      </c>
      <c r="N40" s="15">
        <f t="shared" si="5"/>
        <v>0</v>
      </c>
      <c r="O40" s="351">
        <f>IFERROR(IF(Tabelad[[#This Row],[D1 Exp USD]]&lt;&gt;0,N40/$AE$7,0),"-")</f>
        <v>0</v>
      </c>
      <c r="P40" s="19">
        <f>IFERROR(IF(Tabelad[[#This Row],[D1 Exp USD]]&lt;&gt;0,((I40-K40)/L40*M40*H40)/$AD$7*10000,0),"-")</f>
        <v>0</v>
      </c>
      <c r="Q40" s="15">
        <f>IF(SUM(SUMIFS(Options!$AL$4:$AL$32, Options!$D$4:$D$32, B40), SUMIFS(Options!$AL$4:$AL$32, Options!$D$4:$D$32, B40 &amp; " US"))=0,0,SUM(SUMIFS(Options!$AL$4:$AL$32, Options!$D$4:$D$32, B40), SUMIFS(Options!$AL$4:$AL$32, Options!$D$4:$D$32, B40 &amp; " US")))</f>
        <v>0</v>
      </c>
      <c r="R40" s="18">
        <f t="shared" si="28"/>
        <v>0</v>
      </c>
      <c r="S40" s="19">
        <f>IF(SUM(SUMIFS(Options!$AK$4:$AK$32, Options!$D$4:$D$32, B40), SUMIFS(Options!$AK$4:$AK$32, Options!$D$4:$D$32, B40 &amp; " US"))=0,0,SUM(SUMIFS(Options!$AK$4:$AK$32, Options!$D$4:$D$32, B40), SUMIFS(Options!AK$4:$AK$32, Options!$D$4:$D$32, B40 &amp; " US")))</f>
        <v>0.16000573543354796</v>
      </c>
      <c r="T40" s="13">
        <f t="shared" si="7"/>
        <v>0</v>
      </c>
      <c r="U40" s="47">
        <f t="shared" si="8"/>
        <v>0</v>
      </c>
      <c r="V40" s="19">
        <f t="shared" si="9"/>
        <v>0.16000573543354796</v>
      </c>
      <c r="W40" s="15">
        <f t="shared" si="10"/>
        <v>3689.7953367501723</v>
      </c>
      <c r="X40" s="18"/>
      <c r="Y40" s="369">
        <f>Tabelad[[#This Row],[Exp %]]*$Y$10*$AD$7/Tabelad[[#This Row],[Price Today]]</f>
        <v>0</v>
      </c>
      <c r="Z40" s="260">
        <f>Tabelad[[#This Row],[Vol 10d]]/16*Tabelad[[#This Row],[Exp %]]*100</f>
        <v>0</v>
      </c>
      <c r="AA40" s="18">
        <f>Tabelad[[#This Row],[Exp %]]*Tabelad[[#This Row],[Beta Adj2]]</f>
        <v>0</v>
      </c>
      <c r="AB40" s="35">
        <f>_xll.BDP($B40&amp;" Equity","volatility_10d")</f>
        <v>80.556934725367327</v>
      </c>
      <c r="AC40" s="35">
        <f>_xll.BDP(B40&amp;" EQUITY","eqy_beta")</f>
        <v>2.0447275638580322</v>
      </c>
      <c r="AD40" s="15">
        <f>Tabelad[[#This Row],[D1 P&amp;L bps]]*$AD$5/10000</f>
        <v>0</v>
      </c>
      <c r="AE40" s="271"/>
      <c r="AF40" s="226" t="str">
        <f>_xll.BDP(B40&amp;" Equity","EXPECTED_REPORT_DT")</f>
        <v>03/02/2026</v>
      </c>
      <c r="AG40" s="171" t="e">
        <f>_xll.BDP(B40&amp;" Index","CHG_PCT_1D_PRE_FROM_REGULAR")/100</f>
        <v>#VALUE!</v>
      </c>
      <c r="AH40" s="19" t="e">
        <f t="shared" si="11"/>
        <v>#VALUE!</v>
      </c>
      <c r="AI40" s="431" t="str">
        <f>_xll.BDP(B40&amp;" Equity","DVD_EX_DT")</f>
        <v>#N/A N/A</v>
      </c>
    </row>
    <row r="41" spans="1:35" s="58" customFormat="1">
      <c r="A41" s="467" t="s">
        <v>1770</v>
      </c>
      <c r="B41" s="417" t="s">
        <v>2063</v>
      </c>
      <c r="C41" s="58" t="s">
        <v>2064</v>
      </c>
      <c r="E41" s="58" t="s">
        <v>194</v>
      </c>
      <c r="F41" s="162" t="s">
        <v>99</v>
      </c>
      <c r="G41" s="398"/>
      <c r="H41" s="468">
        <v>3600</v>
      </c>
      <c r="I41" s="14" cm="1">
        <f t="array" ref="I41">_xll.BDP(B41&amp;" Equity","LAST_PRICE")</f>
        <v>435.1</v>
      </c>
      <c r="J41" s="469">
        <f t="shared" ref="J41" si="29">I41/K41-1</f>
        <v>-3.4462952326241858E-4</v>
      </c>
      <c r="K41" s="515">
        <v>435.25</v>
      </c>
      <c r="L41" s="8">
        <f>_xll.BDP(E41&amp;" Curncy","PX_LAST")</f>
        <v>1</v>
      </c>
      <c r="M41" s="470">
        <v>1</v>
      </c>
      <c r="N41" s="398">
        <f t="shared" ref="N41" si="30">IFERROR(IF(((I41/L41)*H41*M41)&lt;&gt;0,((I41/L41)*H41*M41),0),"-")</f>
        <v>1566360</v>
      </c>
      <c r="O41" s="471">
        <f>IFERROR(IF(Tabelad[[#This Row],[D1 Exp USD]]&lt;&gt;0,N41/$AE$7,0),"-")</f>
        <v>6.5369479330644811E-4</v>
      </c>
      <c r="P41" s="472">
        <f>IFERROR(IF(Tabelad[[#This Row],[D1 Exp USD]]&lt;&gt;0,((I41-K41)/L41*M41*H41)/$AD$7*10000,0),"-")</f>
        <v>-2.2536019075144187E-3</v>
      </c>
      <c r="Q41" s="398"/>
      <c r="R41" s="127"/>
      <c r="S41" s="472"/>
      <c r="T41" s="473">
        <f t="shared" ref="T41" si="31">N41+Q41</f>
        <v>1566360</v>
      </c>
      <c r="U41" s="474">
        <f t="shared" ref="U41" si="32">T41/$AE$7</f>
        <v>6.5369479330644811E-4</v>
      </c>
      <c r="V41" s="472">
        <f t="shared" ref="V41" si="33">P41+S41</f>
        <v>-2.2536019075144187E-3</v>
      </c>
      <c r="W41" s="398">
        <f t="shared" ref="W41" si="34">$W$10/(I41/L41*M41)</f>
        <v>3689.7953367501723</v>
      </c>
      <c r="X41" s="127"/>
      <c r="Y41" s="475">
        <f>Tabelad[[#This Row],[Exp %]]*$Y$10*$AD$7/Tabelad[[#This Row],[Price Today]]</f>
        <v>1260</v>
      </c>
      <c r="Z41" s="476">
        <f>Tabelad[[#This Row],[Vol 10d]]/16*Tabelad[[#This Row],[Exp %]]*100</f>
        <v>0.32912280496687513</v>
      </c>
      <c r="AA41" s="127">
        <f>Tabelad[[#This Row],[Exp %]]*Tabelad[[#This Row],[Beta Adj2]]</f>
        <v>1.3366277622241735E-3</v>
      </c>
      <c r="AB41" s="14">
        <f>_xll.BDP($B41&amp;" Equity","volatility_10d")</f>
        <v>80.556934725367327</v>
      </c>
      <c r="AC41" s="14">
        <f>_xll.BDP(B41&amp;" EQUITY","eqy_beta")</f>
        <v>2.0447275638580322</v>
      </c>
      <c r="AD41" s="398">
        <f>Tabelad[[#This Row],[D1 P&amp;L bps]]*$AD$5/10000</f>
        <v>-506.16689135890772</v>
      </c>
      <c r="AE41" s="331"/>
      <c r="AF41" s="477" t="str">
        <f>_xll.BDP(B41&amp;" Equity","EXPECTED_REPORT_DT")</f>
        <v>03/02/2026</v>
      </c>
      <c r="AG41" s="478" t="e">
        <f>_xll.BDP(B41&amp;" Index","CHG_PCT_1D_PRE_FROM_REGULAR")/100</f>
        <v>#VALUE!</v>
      </c>
      <c r="AH41" s="472" t="e">
        <f t="shared" ref="AH41" si="35">(T41*AG41)/$AD$7*10000</f>
        <v>#VALUE!</v>
      </c>
      <c r="AI41" s="479" t="str">
        <f>_xll.BDP(B41&amp;" Equity","DVD_EX_DT")</f>
        <v>#N/A N/A</v>
      </c>
    </row>
    <row r="42" spans="1:35">
      <c r="B42" s="39" t="s">
        <v>2344</v>
      </c>
      <c r="C42" t="s">
        <v>2064</v>
      </c>
      <c r="E42" t="s">
        <v>194</v>
      </c>
      <c r="F42" s="21" t="s">
        <v>99</v>
      </c>
      <c r="G42" s="15"/>
      <c r="H42" s="432">
        <v>31721</v>
      </c>
      <c r="I42" s="35" cm="1">
        <f t="array" ref="I42">_xll.BDP(B42&amp;" Equity","LAST_PRICE")</f>
        <v>83.11</v>
      </c>
      <c r="J42" s="50">
        <f t="shared" si="4"/>
        <v>3.0629960317460236E-2</v>
      </c>
      <c r="K42" s="424">
        <f>_xll.BDP(B42&amp;" equity","PX_YEST_CLOSE")</f>
        <v>80.64</v>
      </c>
      <c r="L42" s="52">
        <f>_xll.BDP(E42&amp;" Curncy","PX_LAST")</f>
        <v>1</v>
      </c>
      <c r="M42" s="51">
        <v>1</v>
      </c>
      <c r="N42" s="15">
        <f t="shared" si="5"/>
        <v>2636332.31</v>
      </c>
      <c r="O42" s="351">
        <f>IFERROR(IF(Tabelad[[#This Row],[D1 Exp USD]]&lt;&gt;0,N42/$AE$7,0),"-")</f>
        <v>1.1002302819738507E-3</v>
      </c>
      <c r="P42" s="19">
        <f>IFERROR(IF(Tabelad[[#This Row],[D1 Exp USD]]&lt;&gt;0,((I42-K42)/L42*M42*H42)/$AD$7*10000,0),"-")</f>
        <v>0.32698457423600169</v>
      </c>
      <c r="Q42" s="15">
        <f>IF(SUM(SUMIFS(Options!$AL$4:$AL$32, Options!$D$4:$D$32, B42), SUMIFS(Options!$AL$4:$AL$32, Options!$D$4:$D$32, B42 &amp; " US"))=0,0,SUM(SUMIFS(Options!$AL$4:$AL$32, Options!$D$4:$D$32, B42), SUMIFS(Options!$AL$4:$AL$32, Options!$D$4:$D$32, B42 &amp; " US")))</f>
        <v>0</v>
      </c>
      <c r="R42" s="18">
        <f t="shared" si="28"/>
        <v>0</v>
      </c>
      <c r="S42" s="19">
        <f>IF(SUM(SUMIFS(Options!$AK$4:$AK$32, Options!$D$4:$D$32, B42), SUMIFS(Options!$AK$4:$AK$32, Options!$D$4:$D$32, B42 &amp; " US"))=0,0,SUM(SUMIFS(Options!$AK$4:$AK$32, Options!$D$4:$D$32, B42), SUMIFS(Options!AK$4:$AK$32, Options!$D$4:$D$32, B42 &amp; " US")))</f>
        <v>0</v>
      </c>
      <c r="T42" s="13">
        <f t="shared" si="7"/>
        <v>2636332.31</v>
      </c>
      <c r="U42" s="47">
        <f t="shared" si="8"/>
        <v>1.1002302819738507E-3</v>
      </c>
      <c r="V42" s="19">
        <f t="shared" si="9"/>
        <v>0.32698457423600169</v>
      </c>
      <c r="W42" s="15">
        <f t="shared" si="10"/>
        <v>19316.928781374085</v>
      </c>
      <c r="X42" s="18"/>
      <c r="Y42" s="369">
        <f>Tabelad[[#This Row],[Exp %]]*$Y$10*$AD$7/Tabelad[[#This Row],[Price Today]]</f>
        <v>11102.35</v>
      </c>
      <c r="Z42" s="260">
        <f>Tabelad[[#This Row],[Vol 10d]]/16*Tabelad[[#This Row],[Exp %]]*100</f>
        <v>0.16544259120191898</v>
      </c>
      <c r="AA42" s="18">
        <f>Tabelad[[#This Row],[Exp %]]*Tabelad[[#This Row],[Beta Adj2]]</f>
        <v>1.0276717602653092E-3</v>
      </c>
      <c r="AB42" s="35">
        <f>_xll.BDP($B42&amp;" Equity","volatility_10d")</f>
        <v>24.059340145426184</v>
      </c>
      <c r="AC42" s="35">
        <f>_xll.BDP(B42&amp;" EQUITY","eqy_beta")</f>
        <v>0.934051513671875</v>
      </c>
      <c r="AD42" s="15">
        <f>Tabelad[[#This Row],[D1 P&amp;L bps]]*$AD$5/10000</f>
        <v>73441.882042910904</v>
      </c>
      <c r="AE42" s="271"/>
      <c r="AF42" s="226" t="str">
        <f>_xll.BDP(B42&amp;" Equity","EXPECTED_REPORT_DT")</f>
        <v>11/02/2026</v>
      </c>
      <c r="AG42" s="171">
        <f>_xll.BDP(B42&amp;" Index","CHG_PCT_1D_PRE_FROM_REGULAR")/100</f>
        <v>5.2083100000000007E-3</v>
      </c>
      <c r="AH42" s="19">
        <f t="shared" si="11"/>
        <v>5.7303403799072276E-2</v>
      </c>
      <c r="AI42" s="431" t="str">
        <f>_xll.BDP(B42&amp;" Equity","DVD_EX_DT")</f>
        <v>02/01/2026</v>
      </c>
    </row>
    <row r="43" spans="1:35" s="58" customFormat="1">
      <c r="A43" s="467" t="s">
        <v>1770</v>
      </c>
      <c r="B43" s="417" t="s">
        <v>2344</v>
      </c>
      <c r="C43" s="58" t="s">
        <v>2064</v>
      </c>
      <c r="E43" s="58" t="s">
        <v>194</v>
      </c>
      <c r="F43" s="162" t="s">
        <v>99</v>
      </c>
      <c r="G43" s="398"/>
      <c r="H43" s="468">
        <v>13000</v>
      </c>
      <c r="I43" s="14" cm="1">
        <f t="array" ref="I43">_xll.BDP(B43&amp;" Equity","LAST_PRICE")</f>
        <v>83.11</v>
      </c>
      <c r="J43" s="469">
        <f t="shared" si="4"/>
        <v>9.7193536629813782E-3</v>
      </c>
      <c r="K43" s="515">
        <v>82.31</v>
      </c>
      <c r="L43" s="8">
        <f>_xll.BDP(E43&amp;" Curncy","PX_LAST")</f>
        <v>1</v>
      </c>
      <c r="M43" s="470">
        <v>1</v>
      </c>
      <c r="N43" s="398">
        <f t="shared" si="5"/>
        <v>1080430</v>
      </c>
      <c r="O43" s="471">
        <f>IFERROR(IF(Tabelad[[#This Row],[D1 Exp USD]]&lt;&gt;0,N43/$AE$7,0),"-")</f>
        <v>4.5089983498818005E-4</v>
      </c>
      <c r="P43" s="472">
        <f>IFERROR(IF(Tabelad[[#This Row],[D1 Exp USD]]&lt;&gt;0,((I43-K43)/L43*M43*H43)/$AD$7*10000,0),"-")</f>
        <v>4.3402703403987823E-2</v>
      </c>
      <c r="Q43" s="398"/>
      <c r="R43" s="127"/>
      <c r="S43" s="472"/>
      <c r="T43" s="473">
        <f t="shared" si="7"/>
        <v>1080430</v>
      </c>
      <c r="U43" s="474">
        <f t="shared" si="8"/>
        <v>4.5089983498818005E-4</v>
      </c>
      <c r="V43" s="472">
        <f t="shared" si="9"/>
        <v>4.3402703403987823E-2</v>
      </c>
      <c r="W43" s="398">
        <f t="shared" si="10"/>
        <v>19316.928781374085</v>
      </c>
      <c r="X43" s="127"/>
      <c r="Y43" s="475">
        <f>Tabelad[[#This Row],[Exp %]]*$Y$10*$AD$7/Tabelad[[#This Row],[Price Today]]</f>
        <v>4549.9999999999991</v>
      </c>
      <c r="Z43" s="476">
        <f>Tabelad[[#This Row],[Vol 10d]]/16*Tabelad[[#This Row],[Exp %]]*100</f>
        <v>6.7802203134357267E-2</v>
      </c>
      <c r="AA43" s="127">
        <f>Tabelad[[#This Row],[Exp %]]*Tabelad[[#This Row],[Beta Adj2]]</f>
        <v>4.2116367338510826E-4</v>
      </c>
      <c r="AB43" s="14">
        <f>_xll.BDP($B43&amp;" Equity","volatility_10d")</f>
        <v>24.059340145426184</v>
      </c>
      <c r="AC43" s="14">
        <f>_xll.BDP(B43&amp;" EQUITY","eqy_beta")</f>
        <v>0.934051513671875</v>
      </c>
      <c r="AD43" s="398">
        <f>Tabelad[[#This Row],[D1 P&amp;L bps]]*$AD$5/10000</f>
        <v>9748.3993891359623</v>
      </c>
      <c r="AE43" s="331"/>
      <c r="AF43" s="477" t="str">
        <f>_xll.BDP(B43&amp;" Equity","EXPECTED_REPORT_DT")</f>
        <v>11/02/2026</v>
      </c>
      <c r="AG43" s="478">
        <f>_xll.BDP(B43&amp;" Index","CHG_PCT_1D_PRE_FROM_REGULAR")/100</f>
        <v>5.2083100000000007E-3</v>
      </c>
      <c r="AH43" s="472">
        <f t="shared" si="11"/>
        <v>2.3484261195672887E-2</v>
      </c>
      <c r="AI43" s="479" t="str">
        <f>_xll.BDP(B43&amp;" Equity","DVD_EX_DT")</f>
        <v>02/01/2026</v>
      </c>
    </row>
    <row r="44" spans="1:35" s="378" customFormat="1">
      <c r="A44" s="513"/>
      <c r="B44" s="523" t="s">
        <v>2353</v>
      </c>
      <c r="C44" s="378" t="s">
        <v>2064</v>
      </c>
      <c r="E44" s="378" t="s">
        <v>194</v>
      </c>
      <c r="F44" s="522" t="s">
        <v>99</v>
      </c>
      <c r="G44" s="512"/>
      <c r="H44" s="511">
        <v>7716</v>
      </c>
      <c r="I44" s="122" cm="1">
        <f t="array" ref="I44">_xll.BDP(B44&amp;" Equity","LAST_PRICE")</f>
        <v>91.79</v>
      </c>
      <c r="J44" s="545">
        <f t="shared" si="4"/>
        <v>-5.008796440028962E-2</v>
      </c>
      <c r="K44" s="510">
        <f>_xll.BDP(B44&amp;" equity","PX_YEST_CLOSE")</f>
        <v>96.63</v>
      </c>
      <c r="L44" s="216">
        <f>_xll.BDP(E44&amp;" Curncy","PX_LAST")</f>
        <v>1</v>
      </c>
      <c r="M44" s="499">
        <v>1</v>
      </c>
      <c r="N44" s="512">
        <f t="shared" si="5"/>
        <v>708251.64</v>
      </c>
      <c r="O44" s="509">
        <f>IFERROR(IF(Tabelad[[#This Row],[D1 Exp USD]]&lt;&gt;0,N44/$AE$7,0),"-")</f>
        <v>2.9557726794526986E-4</v>
      </c>
      <c r="P44" s="508">
        <f>IFERROR(IF(Tabelad[[#This Row],[D1 Exp USD]]&lt;&gt;0,((I44-K44)/L44*M44*H44)/$AD$7*10000,0),"-")</f>
        <v>-0.15585510152032933</v>
      </c>
      <c r="Q44" s="512">
        <f>IF(SUM(SUMIFS(Options!$AL$4:$AL$32, Options!$D$4:$D$32, B44), SUMIFS(Options!$AL$4:$AL$32, Options!$D$4:$D$32, B44 &amp; " US"))=0,0,SUM(SUMIFS(Options!$AL$4:$AL$32, Options!$D$4:$D$32, B44), SUMIFS(Options!$AL$4:$AL$32, Options!$D$4:$D$32, B44 &amp; " US")))</f>
        <v>0</v>
      </c>
      <c r="R44" s="406">
        <f>Q44/$AE$7</f>
        <v>0</v>
      </c>
      <c r="S44" s="508">
        <f>IF(SUM(SUMIFS(Options!$AK$4:$AK$32, Options!$D$4:$D$32, B44), SUMIFS(Options!$AK$4:$AK$32, Options!$D$4:$D$32, B44 &amp; " US"))=0,0,SUM(SUMIFS(Options!$AK$4:$AK$32, Options!$D$4:$D$32, B44), SUMIFS(Options!AK$4:$AK$32, Options!$D$4:$D$32, B44 &amp; " US")))</f>
        <v>0</v>
      </c>
      <c r="T44" s="507">
        <f t="shared" si="7"/>
        <v>708251.64</v>
      </c>
      <c r="U44" s="363">
        <f t="shared" si="8"/>
        <v>2.9557726794526986E-4</v>
      </c>
      <c r="V44" s="508">
        <f t="shared" si="9"/>
        <v>-0.15585510152032933</v>
      </c>
      <c r="W44" s="512">
        <f t="shared" si="10"/>
        <v>17490.248948905108</v>
      </c>
      <c r="X44" s="406"/>
      <c r="Y44" s="500">
        <f>Tabelad[[#This Row],[Exp %]]*$Y$10*$AD$7/Tabelad[[#This Row],[Price Today]]</f>
        <v>2700.5999999999995</v>
      </c>
      <c r="Z44" s="506">
        <f>Tabelad[[#This Row],[Vol 10d]]/16*Tabelad[[#This Row],[Exp %]]*100</f>
        <v>0.10021811837080596</v>
      </c>
      <c r="AA44" s="406">
        <f>Tabelad[[#This Row],[Exp %]]*Tabelad[[#This Row],[Beta Adj2]]</f>
        <v>2.1942237862057436E-4</v>
      </c>
      <c r="AB44" s="122">
        <f>_xll.BDP($B44&amp;" Equity","volatility_10d")</f>
        <v>54.249432139341756</v>
      </c>
      <c r="AC44" s="122">
        <f>_xll.BDP(B44&amp;" EQUITY","eqy_beta")</f>
        <v>0.74235200881958008</v>
      </c>
      <c r="AD44" s="512">
        <f>Tabelad[[#This Row],[D1 P&amp;L bps]]*$AD$5/10000</f>
        <v>-35005.602354135975</v>
      </c>
      <c r="AE44" s="362"/>
      <c r="AF44" s="528" t="str">
        <f>_xll.BDP(B44&amp;" Equity","EXPECTED_REPORT_DT")</f>
        <v>19/02/2026</v>
      </c>
      <c r="AG44" s="526">
        <f>_xll.BDP(B44&amp;" Index","CHG_PCT_1D_PRE_FROM_REGULAR")/100</f>
        <v>-4.9673579999999998E-3</v>
      </c>
      <c r="AH44" s="508">
        <f t="shared" si="11"/>
        <v>-1.4682381065460798E-2</v>
      </c>
      <c r="AI44" s="527" t="str">
        <f>_xll.BDP(B44&amp;" Equity","DVD_EX_DT")</f>
        <v>#N/A Field Not Applicable</v>
      </c>
    </row>
    <row r="45" spans="1:35" s="378" customFormat="1">
      <c r="A45" s="513" t="s">
        <v>1770</v>
      </c>
      <c r="B45" s="523" t="s">
        <v>2353</v>
      </c>
      <c r="C45" s="378" t="s">
        <v>2064</v>
      </c>
      <c r="E45" s="378" t="s">
        <v>194</v>
      </c>
      <c r="F45" s="522" t="s">
        <v>99</v>
      </c>
      <c r="G45" s="512"/>
      <c r="H45" s="511">
        <v>2500</v>
      </c>
      <c r="I45" s="122" cm="1">
        <f t="array" ref="I45">_xll.BDP(B45&amp;" Equity","LAST_PRICE")</f>
        <v>91.79</v>
      </c>
      <c r="J45" s="545">
        <f t="shared" si="4"/>
        <v>-3.7437080536912637E-2</v>
      </c>
      <c r="K45" s="510">
        <v>95.36</v>
      </c>
      <c r="L45" s="216">
        <f>_xll.BDP(E45&amp;" Curncy","PX_LAST")</f>
        <v>1</v>
      </c>
      <c r="M45" s="499">
        <v>1</v>
      </c>
      <c r="N45" s="512">
        <f t="shared" si="5"/>
        <v>229475.00000000003</v>
      </c>
      <c r="O45" s="509">
        <f>IFERROR(IF(Tabelad[[#This Row],[D1 Exp USD]]&lt;&gt;0,N45/$AE$7,0),"-")</f>
        <v>9.5767647727212896E-5</v>
      </c>
      <c r="P45" s="508">
        <f>IFERROR(IF(Tabelad[[#This Row],[D1 Exp USD]]&lt;&gt;0,((I45-K45)/L45*M45*H45)/$AD$7*10000,0),"-")</f>
        <v>-3.7247031526979994E-2</v>
      </c>
      <c r="Q45" s="512"/>
      <c r="R45" s="406"/>
      <c r="S45" s="508"/>
      <c r="T45" s="507">
        <f t="shared" si="7"/>
        <v>229475.00000000003</v>
      </c>
      <c r="U45" s="363">
        <f t="shared" si="8"/>
        <v>9.5767647727212896E-5</v>
      </c>
      <c r="V45" s="508">
        <f t="shared" si="9"/>
        <v>-3.7247031526979994E-2</v>
      </c>
      <c r="W45" s="512">
        <f t="shared" si="10"/>
        <v>17490.248948905108</v>
      </c>
      <c r="X45" s="406"/>
      <c r="Y45" s="500">
        <f>Tabelad[[#This Row],[Exp %]]*$Y$10*$AD$7/Tabelad[[#This Row],[Price Today]]</f>
        <v>874.99999999999989</v>
      </c>
      <c r="Z45" s="506">
        <f>Tabelad[[#This Row],[Vol 10d]]/16*Tabelad[[#This Row],[Exp %]]*100</f>
        <v>3.2470878165761392E-2</v>
      </c>
      <c r="AA45" s="406">
        <f>Tabelad[[#This Row],[Exp %]]*Tabelad[[#This Row],[Beta Adj2]]</f>
        <v>7.1093305670222388E-5</v>
      </c>
      <c r="AB45" s="122">
        <f>_xll.BDP($B45&amp;" Equity","volatility_10d")</f>
        <v>54.249432139341756</v>
      </c>
      <c r="AC45" s="122">
        <f>_xll.BDP(B45&amp;" EQUITY","eqy_beta")</f>
        <v>0.74235200881958008</v>
      </c>
      <c r="AD45" s="512">
        <f>Tabelad[[#This Row],[D1 P&amp;L bps]]*$AD$5/10000</f>
        <v>-8365.8138988498649</v>
      </c>
      <c r="AE45" s="362"/>
      <c r="AF45" s="528" t="str">
        <f>_xll.BDP(B45&amp;" Equity","EXPECTED_REPORT_DT")</f>
        <v>19/02/2026</v>
      </c>
      <c r="AG45" s="526">
        <f>_xll.BDP(B45&amp;" Index","CHG_PCT_1D_PRE_FROM_REGULAR")/100</f>
        <v>-4.9673579999999998E-3</v>
      </c>
      <c r="AH45" s="508">
        <f t="shared" si="11"/>
        <v>-4.7571219107895284E-3</v>
      </c>
      <c r="AI45" s="527" t="str">
        <f>_xll.BDP(B45&amp;" Equity","DVD_EX_DT")</f>
        <v>#N/A Field Not Applicable</v>
      </c>
    </row>
    <row r="46" spans="1:35">
      <c r="B46" s="39" t="s">
        <v>137</v>
      </c>
      <c r="C46" t="s">
        <v>1880</v>
      </c>
      <c r="E46" t="s">
        <v>194</v>
      </c>
      <c r="F46" s="21" t="s">
        <v>99</v>
      </c>
      <c r="G46" s="15"/>
      <c r="H46" s="432"/>
      <c r="I46" s="35" cm="1">
        <f t="array" ref="I46">_xll.BDP(B46&amp;" Equity","LAST_PRICE")</f>
        <v>320.33</v>
      </c>
      <c r="J46" s="50">
        <f t="shared" si="4"/>
        <v>-3.2557156232068007E-2</v>
      </c>
      <c r="K46" s="424">
        <f>_xll.BDP(B46&amp;" equity","PX_YEST_CLOSE")</f>
        <v>331.11</v>
      </c>
      <c r="L46" s="52">
        <f>_xll.BDP(E46&amp;" Curncy","PX_LAST")</f>
        <v>1</v>
      </c>
      <c r="M46" s="51">
        <v>1</v>
      </c>
      <c r="N46" s="15">
        <f t="shared" si="5"/>
        <v>0</v>
      </c>
      <c r="O46" s="351">
        <f>IFERROR(IF(Tabelad[[#This Row],[D1 Exp USD]]&lt;&gt;0,N46/$AE$7,0),"-")</f>
        <v>0</v>
      </c>
      <c r="P46" s="19">
        <f>IFERROR(IF(Tabelad[[#This Row],[D1 Exp USD]]&lt;&gt;0,((I46-K46)/L46*M46*H46)/$AD$7*10000,0),"-")</f>
        <v>0</v>
      </c>
      <c r="Q46" s="15">
        <f>IF(SUM(SUMIFS(Options!$AL$4:$AL$32, Options!$D$4:$D$32, B46), SUMIFS(Options!$AL$4:$AL$32, Options!$D$4:$D$32, B46 &amp; " US"))=0,0,SUM(SUMIFS(Options!$AL$4:$AL$32, Options!$D$4:$D$32, B46), SUMIFS(Options!$AL$4:$AL$32, Options!$D$4:$D$32, B46 &amp; " US")))</f>
        <v>1793021.1212432382</v>
      </c>
      <c r="R46" s="18">
        <f t="shared" ref="R46:R62" si="36">Q46/$AE$7</f>
        <v>7.4828811463852139E-4</v>
      </c>
      <c r="S46" s="19">
        <f>IF(SUM(SUMIFS(Options!$AK$4:$AK$32, Options!$D$4:$D$32, B46), SUMIFS(Options!$AK$4:$AK$32, Options!$D$4:$D$32, B46 &amp; " US"))=0,0,SUM(SUMIFS(Options!$AK$4:$AK$32, Options!$D$4:$D$32, B46), SUMIFS(Options!AK$4:$AK$32, Options!$D$4:$D$32, B46 &amp; " US")))</f>
        <v>-0.19506176510599998</v>
      </c>
      <c r="T46" s="13">
        <f t="shared" si="7"/>
        <v>1793021.1212432382</v>
      </c>
      <c r="U46" s="47">
        <f t="shared" si="8"/>
        <v>7.4828811463852139E-4</v>
      </c>
      <c r="V46" s="19">
        <f t="shared" si="9"/>
        <v>-0.19506176510599998</v>
      </c>
      <c r="W46" s="15">
        <f t="shared" si="10"/>
        <v>5011.800178003934</v>
      </c>
      <c r="X46" s="18"/>
      <c r="Y46" s="369">
        <f>Tabelad[[#This Row],[Exp %]]*$Y$10*$AD$7/Tabelad[[#This Row],[Price Today]]</f>
        <v>1959.0965330600736</v>
      </c>
      <c r="Z46" s="260">
        <f>Tabelad[[#This Row],[Vol 10d]]/16*Tabelad[[#This Row],[Exp %]]*100</f>
        <v>0.12712224588090834</v>
      </c>
      <c r="AA46" s="18">
        <f>Tabelad[[#This Row],[Exp %]]*Tabelad[[#This Row],[Beta Adj2]]</f>
        <v>1.5189001456609574E-3</v>
      </c>
      <c r="AB46" s="35">
        <f>_xll.BDP($B46&amp;" Equity","volatility_10d")</f>
        <v>27.181454500010133</v>
      </c>
      <c r="AC46" s="35">
        <f>_xll.BDP(B46&amp;" EQUITY","eqy_beta")</f>
        <v>2.0298333168029785</v>
      </c>
      <c r="AD46" s="15">
        <f>Tabelad[[#This Row],[D1 P&amp;L bps]]*$AD$5/10000</f>
        <v>0</v>
      </c>
      <c r="AE46" s="271"/>
      <c r="AF46" s="226" t="str">
        <f>_xll.BDP(B46&amp;" Equity","EXPECTED_REPORT_DT")</f>
        <v>04/03/2026</v>
      </c>
      <c r="AG46" s="171">
        <f>_xll.BDP(B46&amp;" Index","CHG_PCT_1D_PRE_FROM_REGULAR")/100</f>
        <v>1.709403E-2</v>
      </c>
      <c r="AH46" s="19">
        <f t="shared" si="11"/>
        <v>0.12791259480274322</v>
      </c>
      <c r="AI46" s="431" t="str">
        <f>_xll.BDP(B46&amp;" Equity","DVD_EX_DT")</f>
        <v>22/12/2025</v>
      </c>
    </row>
    <row r="47" spans="1:35" s="58" customFormat="1">
      <c r="A47" s="467" t="s">
        <v>1770</v>
      </c>
      <c r="B47" s="417" t="s">
        <v>137</v>
      </c>
      <c r="C47" s="58" t="s">
        <v>1880</v>
      </c>
      <c r="E47" s="58" t="s">
        <v>194</v>
      </c>
      <c r="F47" s="162" t="s">
        <v>99</v>
      </c>
      <c r="G47" s="398"/>
      <c r="H47" s="468">
        <v>2300</v>
      </c>
      <c r="I47" s="14" cm="1">
        <f t="array" ref="I47">_xll.BDP(B47&amp;" Equity","LAST_PRICE")</f>
        <v>320.33</v>
      </c>
      <c r="J47" s="469">
        <f t="shared" si="4"/>
        <v>1.4344521849271707E-2</v>
      </c>
      <c r="K47" s="515">
        <v>315.8</v>
      </c>
      <c r="L47" s="8">
        <f>_xll.BDP(E47&amp;" Curncy","PX_LAST")</f>
        <v>1</v>
      </c>
      <c r="M47" s="470">
        <v>1</v>
      </c>
      <c r="N47" s="398">
        <f t="shared" si="5"/>
        <v>736759</v>
      </c>
      <c r="O47" s="471">
        <f>IFERROR(IF(Tabelad[[#This Row],[D1 Exp USD]]&lt;&gt;0,N47/$AE$7,0),"-")</f>
        <v>3.0747434958864207E-4</v>
      </c>
      <c r="P47" s="472">
        <f>IFERROR(IF(Tabelad[[#This Row],[D1 Exp USD]]&lt;&gt;0,((I47-K47)/L47*M47*H47)/$AD$7*10000,0),"-")</f>
        <v>4.348199680443731E-2</v>
      </c>
      <c r="Q47" s="398"/>
      <c r="R47" s="127"/>
      <c r="S47" s="472"/>
      <c r="T47" s="473">
        <f t="shared" si="7"/>
        <v>736759</v>
      </c>
      <c r="U47" s="474">
        <f t="shared" si="8"/>
        <v>3.0747434958864207E-4</v>
      </c>
      <c r="V47" s="472">
        <f t="shared" si="9"/>
        <v>4.348199680443731E-2</v>
      </c>
      <c r="W47" s="398">
        <f t="shared" si="10"/>
        <v>5011.800178003934</v>
      </c>
      <c r="X47" s="127"/>
      <c r="Y47" s="475">
        <f>Tabelad[[#This Row],[Exp %]]*$Y$10*$AD$7/Tabelad[[#This Row],[Price Today]]</f>
        <v>804.99999999999989</v>
      </c>
      <c r="Z47" s="476">
        <f>Tabelad[[#This Row],[Vol 10d]]/16*Tabelad[[#This Row],[Exp %]]*100</f>
        <v>5.2235000270399269E-2</v>
      </c>
      <c r="AA47" s="127">
        <f>Tabelad[[#This Row],[Exp %]]*Tabelad[[#This Row],[Beta Adj2]]</f>
        <v>6.2412167885735189E-4</v>
      </c>
      <c r="AB47" s="14">
        <f>_xll.BDP($B47&amp;" Equity","volatility_10d")</f>
        <v>27.181454500010133</v>
      </c>
      <c r="AC47" s="14">
        <f>_xll.BDP(B47&amp;" EQUITY","eqy_beta")</f>
        <v>2.0298333168029785</v>
      </c>
      <c r="AD47" s="398">
        <f>Tabelad[[#This Row],[D1 P&amp;L bps]]*$AD$5/10000</f>
        <v>9766.2089649430145</v>
      </c>
      <c r="AE47" s="331"/>
      <c r="AF47" s="477" t="str">
        <f>_xll.BDP(B47&amp;" Equity","EXPECTED_REPORT_DT")</f>
        <v>04/03/2026</v>
      </c>
      <c r="AG47" s="478">
        <f>_xll.BDP(B47&amp;" Index","CHG_PCT_1D_PRE_FROM_REGULAR")/100</f>
        <v>1.709403E-2</v>
      </c>
      <c r="AH47" s="472">
        <f t="shared" si="11"/>
        <v>5.2559757560987352E-2</v>
      </c>
      <c r="AI47" s="479" t="str">
        <f>_xll.BDP(B47&amp;" Equity","DVD_EX_DT")</f>
        <v>22/12/2025</v>
      </c>
    </row>
    <row r="48" spans="1:35" s="58" customFormat="1">
      <c r="A48" s="467" t="s">
        <v>1770</v>
      </c>
      <c r="B48" s="417" t="s">
        <v>137</v>
      </c>
      <c r="C48" s="58" t="s">
        <v>1880</v>
      </c>
      <c r="E48" s="58" t="s">
        <v>194</v>
      </c>
      <c r="F48" s="162" t="s">
        <v>99</v>
      </c>
      <c r="G48" s="398"/>
      <c r="H48" s="468">
        <v>-2300</v>
      </c>
      <c r="I48" s="14" cm="1">
        <f t="array" ref="I48">_xll.BDP(B48&amp;" Equity","LAST_PRICE")</f>
        <v>320.33</v>
      </c>
      <c r="J48" s="469">
        <f t="shared" ref="J48" si="37">I48/K48-1</f>
        <v>4.1692789968652555E-3</v>
      </c>
      <c r="K48" s="515">
        <v>319</v>
      </c>
      <c r="L48" s="8">
        <f>_xll.BDP(E48&amp;" Curncy","PX_LAST")</f>
        <v>1</v>
      </c>
      <c r="M48" s="470">
        <v>1</v>
      </c>
      <c r="N48" s="398">
        <f t="shared" ref="N48" si="38">IFERROR(IF(((I48/L48)*H48*M48)&lt;&gt;0,((I48/L48)*H48*M48),0),"-")</f>
        <v>-736759</v>
      </c>
      <c r="O48" s="471">
        <f>IFERROR(IF(Tabelad[[#This Row],[D1 Exp USD]]&lt;&gt;0,N48/$AE$7,0),"-")</f>
        <v>-3.0747434958864207E-4</v>
      </c>
      <c r="P48" s="472">
        <f>IFERROR(IF(Tabelad[[#This Row],[D1 Exp USD]]&lt;&gt;0,((I48-K48)/L48*M48*H48)/$AD$7*10000,0),"-")</f>
        <v>-1.2766237472384388E-2</v>
      </c>
      <c r="Q48" s="398"/>
      <c r="R48" s="127"/>
      <c r="S48" s="472"/>
      <c r="T48" s="473">
        <f t="shared" ref="T48" si="39">N48+Q48</f>
        <v>-736759</v>
      </c>
      <c r="U48" s="474">
        <f t="shared" ref="U48" si="40">T48/$AE$7</f>
        <v>-3.0747434958864207E-4</v>
      </c>
      <c r="V48" s="472">
        <f t="shared" ref="V48" si="41">P48+S48</f>
        <v>-1.2766237472384388E-2</v>
      </c>
      <c r="W48" s="398">
        <f t="shared" ref="W48" si="42">$W$10/(I48/L48*M48)</f>
        <v>5011.800178003934</v>
      </c>
      <c r="X48" s="127"/>
      <c r="Y48" s="475">
        <f>Tabelad[[#This Row],[Exp %]]*$Y$10*$AD$7/Tabelad[[#This Row],[Price Today]]</f>
        <v>-804.99999999999989</v>
      </c>
      <c r="Z48" s="476">
        <f>Tabelad[[#This Row],[Vol 10d]]/16*Tabelad[[#This Row],[Exp %]]*100</f>
        <v>-5.2235000270399269E-2</v>
      </c>
      <c r="AA48" s="127">
        <f>Tabelad[[#This Row],[Exp %]]*Tabelad[[#This Row],[Beta Adj2]]</f>
        <v>-6.2412167885735189E-4</v>
      </c>
      <c r="AB48" s="14">
        <f>_xll.BDP($B48&amp;" Equity","volatility_10d")</f>
        <v>27.181454500010133</v>
      </c>
      <c r="AC48" s="14">
        <f>_xll.BDP(B48&amp;" EQUITY","eqy_beta")</f>
        <v>2.0298333168029785</v>
      </c>
      <c r="AD48" s="398">
        <f>Tabelad[[#This Row],[D1 P&amp;L bps]]*$AD$5/10000</f>
        <v>-2867.3417049391014</v>
      </c>
      <c r="AE48" s="331"/>
      <c r="AF48" s="477" t="str">
        <f>_xll.BDP(B48&amp;" Equity","EXPECTED_REPORT_DT")</f>
        <v>04/03/2026</v>
      </c>
      <c r="AG48" s="478">
        <f>_xll.BDP(B48&amp;" Index","CHG_PCT_1D_PRE_FROM_REGULAR")/100</f>
        <v>1.709403E-2</v>
      </c>
      <c r="AH48" s="472">
        <f t="shared" ref="AH48" si="43">(T48*AG48)/$AD$7*10000</f>
        <v>-5.2559757560987352E-2</v>
      </c>
      <c r="AI48" s="479" t="str">
        <f>_xll.BDP(B48&amp;" Equity","DVD_EX_DT")</f>
        <v>22/12/2025</v>
      </c>
    </row>
    <row r="49" spans="1:35">
      <c r="B49" s="39" t="s">
        <v>96</v>
      </c>
      <c r="C49" t="s">
        <v>1880</v>
      </c>
      <c r="E49" t="s">
        <v>194</v>
      </c>
      <c r="F49" s="21" t="s">
        <v>99</v>
      </c>
      <c r="G49" s="15"/>
      <c r="H49" s="432">
        <v>798</v>
      </c>
      <c r="I49" s="35" cm="1">
        <f t="array" ref="I49">_xll.BDP(B49&amp;" Equity","LAST_PRICE")</f>
        <v>335.75</v>
      </c>
      <c r="J49" s="50">
        <f t="shared" si="4"/>
        <v>-1.6434262948207157E-2</v>
      </c>
      <c r="K49" s="424">
        <f>_xll.BDP(B49&amp;" equity","PX_YEST_CLOSE")</f>
        <v>341.36</v>
      </c>
      <c r="L49" s="52">
        <f>_xll.BDP(E49&amp;" Curncy","PX_LAST")</f>
        <v>1</v>
      </c>
      <c r="M49" s="51">
        <v>1</v>
      </c>
      <c r="N49" s="15">
        <f t="shared" si="5"/>
        <v>267928.5</v>
      </c>
      <c r="O49" s="351">
        <f>IFERROR(IF(Tabelad[[#This Row],[D1 Exp USD]]&lt;&gt;0,N49/$AE$7,0),"-")</f>
        <v>1.1181558864399416E-4</v>
      </c>
      <c r="P49" s="19">
        <f>IFERROR(IF(Tabelad[[#This Row],[D1 Exp USD]]&lt;&gt;0,((I49-K49)/L49*M49*H49)/$AD$7*10000,0),"-")</f>
        <v>-1.8683111013933246E-2</v>
      </c>
      <c r="Q49" s="15">
        <f>IF(SUM(SUMIFS(Options!$AL$4:$AL$32, Options!$D$4:$D$32, B49), SUMIFS(Options!$AL$4:$AL$32, Options!$D$4:$D$32, B49 &amp; " US"))=0,0,SUM(SUMIFS(Options!$AL$4:$AL$32, Options!$D$4:$D$32, B49), SUMIFS(Options!$AL$4:$AL$32, Options!$D$4:$D$32, B49 &amp; " US")))</f>
        <v>12882739.624027163</v>
      </c>
      <c r="R49" s="18">
        <f t="shared" si="36"/>
        <v>5.3764012205043702E-3</v>
      </c>
      <c r="S49" s="19">
        <f>IF(SUM(SUMIFS(Options!$AK$4:$AK$32, Options!$D$4:$D$32, B49), SUMIFS(Options!$AK$4:$AK$32, Options!$D$4:$D$32, B49 &amp; " US"))=0,0,SUM(SUMIFS(Options!$AK$4:$AK$32, Options!$D$4:$D$32, B49), SUMIFS(Options!AK$4:$AK$32, Options!$D$4:$D$32, B49 &amp; " US")))</f>
        <v>-0.33037177963636566</v>
      </c>
      <c r="T49" s="13">
        <f t="shared" si="7"/>
        <v>13150668.124027163</v>
      </c>
      <c r="U49" s="47">
        <f t="shared" si="8"/>
        <v>5.4882168091483644E-3</v>
      </c>
      <c r="V49" s="19">
        <f t="shared" si="9"/>
        <v>-0.34905489065029893</v>
      </c>
      <c r="W49" s="15">
        <f t="shared" si="10"/>
        <v>4781.6230856887569</v>
      </c>
      <c r="X49" s="18"/>
      <c r="Y49" s="369">
        <f>Tabelad[[#This Row],[Exp %]]*$Y$10*$AD$7/Tabelad[[#This Row],[Price Today]]</f>
        <v>13708.81263859868</v>
      </c>
      <c r="Z49" s="260">
        <f>Tabelad[[#This Row],[Vol 10d]]/16*Tabelad[[#This Row],[Exp %]]*100</f>
        <v>1.0689306490423645</v>
      </c>
      <c r="AA49" s="18">
        <f>Tabelad[[#This Row],[Exp %]]*Tabelad[[#This Row],[Beta Adj2]]</f>
        <v>8.0215329032514507E-3</v>
      </c>
      <c r="AB49" s="35">
        <f>_xll.BDP($B49&amp;" Equity","volatility_10d")</f>
        <v>31.162927740334258</v>
      </c>
      <c r="AC49" s="35" cm="1">
        <f t="array" ref="AC49">_xll.BDP(B49&amp;" EQUITY","eqy_beta")</f>
        <v>1.4615918397903442</v>
      </c>
      <c r="AD49" s="15">
        <f>Tabelad[[#This Row],[D1 P&amp;L bps]]*$AD$5/10000</f>
        <v>-4196.2922516631106</v>
      </c>
      <c r="AE49" s="271"/>
      <c r="AF49" s="226" t="str">
        <f>_xll.BDP(B49&amp;" Equity","EXPECTED_REPORT_DT")</f>
        <v>17/04/2026</v>
      </c>
      <c r="AG49" s="171" t="e">
        <f>_xll.BDP(B49&amp;" Index","CHG_PCT_1D_PRE_FROM_REGULAR")/100</f>
        <v>#VALUE!</v>
      </c>
      <c r="AH49" s="19" t="e">
        <f t="shared" si="11"/>
        <v>#VALUE!</v>
      </c>
      <c r="AI49" s="431" t="str">
        <f>_xll.BDP(B49&amp;" Equity","DVD_EX_DT")</f>
        <v>17/03/2026</v>
      </c>
    </row>
    <row r="50" spans="1:35" s="58" customFormat="1">
      <c r="A50" s="467" t="s">
        <v>1770</v>
      </c>
      <c r="B50" s="417" t="s">
        <v>96</v>
      </c>
      <c r="C50" s="58" t="s">
        <v>1880</v>
      </c>
      <c r="E50" s="58" t="s">
        <v>194</v>
      </c>
      <c r="F50" s="162" t="s">
        <v>99</v>
      </c>
      <c r="G50" s="398"/>
      <c r="H50" s="468">
        <v>2940</v>
      </c>
      <c r="I50" s="14" cm="1">
        <f t="array" ref="I50">_xll.BDP(B50&amp;" Equity","LAST_PRICE")</f>
        <v>335.75</v>
      </c>
      <c r="J50" s="469">
        <f t="shared" si="4"/>
        <v>4.5477665080930763E-3</v>
      </c>
      <c r="K50" s="515">
        <v>334.23</v>
      </c>
      <c r="L50" s="8">
        <f>_xll.BDP(E50&amp;" Curncy","PX_LAST")</f>
        <v>1</v>
      </c>
      <c r="M50" s="470">
        <v>1</v>
      </c>
      <c r="N50" s="398">
        <f t="shared" si="5"/>
        <v>987105</v>
      </c>
      <c r="O50" s="471">
        <f>IFERROR(IF(Tabelad[[#This Row],[D1 Exp USD]]&lt;&gt;0,N50/$AE$7,0),"-")</f>
        <v>4.119521686883995E-4</v>
      </c>
      <c r="P50" s="472">
        <f>IFERROR(IF(Tabelad[[#This Row],[D1 Exp USD]]&lt;&gt;0,((I50-K50)/L50*M50*H50)/$AD$7*10000,0),"-")</f>
        <v>1.8649807785744148E-2</v>
      </c>
      <c r="Q50" s="398"/>
      <c r="R50" s="127"/>
      <c r="S50" s="472"/>
      <c r="T50" s="473">
        <f t="shared" si="7"/>
        <v>987105</v>
      </c>
      <c r="U50" s="474">
        <f t="shared" si="8"/>
        <v>4.119521686883995E-4</v>
      </c>
      <c r="V50" s="472">
        <f t="shared" si="9"/>
        <v>1.8649807785744148E-2</v>
      </c>
      <c r="W50" s="398">
        <f t="shared" si="10"/>
        <v>4781.6230856887569</v>
      </c>
      <c r="X50" s="127"/>
      <c r="Y50" s="475">
        <f>Tabelad[[#This Row],[Exp %]]*$Y$10*$AD$7/Tabelad[[#This Row],[Price Today]]</f>
        <v>1028.9999999999998</v>
      </c>
      <c r="Z50" s="476">
        <f>Tabelad[[#This Row],[Vol 10d]]/16*Tabelad[[#This Row],[Exp %]]*100</f>
        <v>8.0235222908191142E-2</v>
      </c>
      <c r="AA50" s="127">
        <f>Tabelad[[#This Row],[Exp %]]*Tabelad[[#This Row],[Beta Adj2]]</f>
        <v>6.0210592813890007E-4</v>
      </c>
      <c r="AB50" s="14">
        <f>_xll.BDP($B50&amp;" Equity","volatility_10d")</f>
        <v>31.162927740334258</v>
      </c>
      <c r="AC50" s="14" cm="1">
        <f t="array" ref="AC50">_xll.BDP(B50&amp;" EQUITY","eqy_beta")</f>
        <v>1.4615918397903442</v>
      </c>
      <c r="AD50" s="398">
        <f>Tabelad[[#This Row],[D1 P&amp;L bps]]*$AD$5/10000</f>
        <v>4188.8122298240787</v>
      </c>
      <c r="AE50" s="331"/>
      <c r="AF50" s="477" t="str">
        <f>_xll.BDP(B50&amp;" Equity","EXPECTED_REPORT_DT")</f>
        <v>17/04/2026</v>
      </c>
      <c r="AG50" s="478" t="e">
        <f>_xll.BDP(B50&amp;" Index","CHG_PCT_1D_PRE_FROM_REGULAR")/100</f>
        <v>#VALUE!</v>
      </c>
      <c r="AH50" s="472" t="e">
        <f t="shared" si="11"/>
        <v>#VALUE!</v>
      </c>
      <c r="AI50" s="479" t="str">
        <f>_xll.BDP(B50&amp;" Equity","DVD_EX_DT")</f>
        <v>17/03/2026</v>
      </c>
    </row>
    <row r="51" spans="1:35">
      <c r="B51" s="39" t="s">
        <v>708</v>
      </c>
      <c r="C51" t="s">
        <v>1880</v>
      </c>
      <c r="E51" t="s">
        <v>194</v>
      </c>
      <c r="F51" s="21" t="s">
        <v>99</v>
      </c>
      <c r="G51" s="15"/>
      <c r="H51" s="432"/>
      <c r="I51" s="35" cm="1">
        <f t="array" ref="I51">_xll.BDP(B51&amp;" Equity","LAST_PRICE")</f>
        <v>49.25</v>
      </c>
      <c r="J51" s="50">
        <f t="shared" si="4"/>
        <v>9.0145461995492226E-3</v>
      </c>
      <c r="K51" s="424">
        <f>_xll.BDP(B51&amp;" equity","PX_YEST_CLOSE")</f>
        <v>48.81</v>
      </c>
      <c r="L51" s="52">
        <f>_xll.BDP(E51&amp;" Curncy","PX_LAST")</f>
        <v>1</v>
      </c>
      <c r="M51" s="51">
        <v>1</v>
      </c>
      <c r="N51" s="15">
        <f t="shared" si="5"/>
        <v>0</v>
      </c>
      <c r="O51" s="351">
        <f>IFERROR(IF(Tabelad[[#This Row],[D1 Exp USD]]&lt;&gt;0,N51/$AE$7,0),"-")</f>
        <v>0</v>
      </c>
      <c r="P51" s="19">
        <f>IFERROR(IF(Tabelad[[#This Row],[D1 Exp USD]]&lt;&gt;0,((I51-K51)/L51*M51*H51)/$AD$7*10000,0),"-")</f>
        <v>0</v>
      </c>
      <c r="Q51" s="15">
        <f>IF(SUM(SUMIFS(Options!$AL$4:$AL$32, Options!$D$4:$D$32, B51), SUMIFS(Options!$AL$4:$AL$32, Options!$D$4:$D$32, B51 &amp; " US"))=0,0,SUM(SUMIFS(Options!$AL$4:$AL$32, Options!$D$4:$D$32, B51), SUMIFS(Options!$AL$4:$AL$32, Options!$D$4:$D$32, B51 &amp; " US")))</f>
        <v>537137.20625266433</v>
      </c>
      <c r="R51" s="18">
        <f>Q51/$AE$7</f>
        <v>2.241654504829914E-4</v>
      </c>
      <c r="S51" s="19">
        <f>IF(SUM(SUMIFS(Options!$AK$4:$AK$32, Options!$D$4:$D$32, B51), SUMIFS(Options!$AK$4:$AK$32, Options!$D$4:$D$32, B51 &amp; " US"))=0,0,SUM(SUMIFS(Options!$AK$4:$AK$32, Options!$D$4:$D$32, B51), SUMIFS(Options!AK$4:$AK$32, Options!$D$4:$D$32, B51 &amp; " US")))</f>
        <v>3.0830526095861482E-2</v>
      </c>
      <c r="T51" s="13">
        <f t="shared" si="7"/>
        <v>537137.20625266433</v>
      </c>
      <c r="U51" s="47">
        <f t="shared" si="8"/>
        <v>2.241654504829914E-4</v>
      </c>
      <c r="V51" s="19">
        <f t="shared" si="9"/>
        <v>3.0830526095861482E-2</v>
      </c>
      <c r="W51" s="15">
        <f t="shared" si="10"/>
        <v>32597.562457258882</v>
      </c>
      <c r="X51" s="18"/>
      <c r="Y51" s="369">
        <f>Tabelad[[#This Row],[Exp %]]*$Y$10*$AD$7/Tabelad[[#This Row],[Price Today]]</f>
        <v>3817.2187246382236</v>
      </c>
      <c r="Z51" s="260">
        <f>Tabelad[[#This Row],[Vol 10d]]/16*Tabelad[[#This Row],[Exp %]]*100</f>
        <v>0.18557648332189203</v>
      </c>
      <c r="AA51" s="18">
        <f>Tabelad[[#This Row],[Exp %]]*Tabelad[[#This Row],[Beta Adj2]]</f>
        <v>3.3012119033523174E-4</v>
      </c>
      <c r="AB51" s="35">
        <f>_xll.BDP($B51&amp;" Equity","volatility_10d")</f>
        <v>132.45679594035224</v>
      </c>
      <c r="AC51" s="35">
        <f>_xll.BDP(B51&amp;" EQUITY","eqy_beta")</f>
        <v>1.4726675748825073</v>
      </c>
      <c r="AD51" s="15">
        <f>Tabelad[[#This Row],[D1 P&amp;L bps]]*$AD$5/10000</f>
        <v>0</v>
      </c>
      <c r="AE51" s="271"/>
      <c r="AF51" s="226" t="str">
        <f>_xll.BDP(B51&amp;" Equity","EXPECTED_REPORT_DT")</f>
        <v>24/04/2026</v>
      </c>
      <c r="AG51" s="171" t="e">
        <f>_xll.BDP(B51&amp;" Index","CHG_PCT_1D_PRE_FROM_REGULAR")/100</f>
        <v>#VALUE!</v>
      </c>
      <c r="AH51" s="19" t="e">
        <f t="shared" si="11"/>
        <v>#VALUE!</v>
      </c>
      <c r="AI51" s="431" t="str">
        <f>_xll.BDP(B51&amp;" Equity","DVD_EX_DT")</f>
        <v>03/09/2024</v>
      </c>
    </row>
    <row r="52" spans="1:35">
      <c r="B52" s="39" t="s">
        <v>94</v>
      </c>
      <c r="C52" t="s">
        <v>1880</v>
      </c>
      <c r="E52" t="s">
        <v>194</v>
      </c>
      <c r="F52" s="21" t="s">
        <v>99</v>
      </c>
      <c r="G52" s="15"/>
      <c r="H52" s="432">
        <v>20008</v>
      </c>
      <c r="I52" s="35" cm="1">
        <f t="array" ref="I52">_xll.BDP(B52&amp;" Equity","LAST_PRICE")</f>
        <v>180.34</v>
      </c>
      <c r="J52" s="50">
        <f t="shared" si="4"/>
        <v>-2.8392866763644276E-2</v>
      </c>
      <c r="K52" s="424">
        <f>_xll.BDP(B52&amp;" equity","PX_YEST_CLOSE")</f>
        <v>185.61</v>
      </c>
      <c r="L52" s="52">
        <f>_xll.BDP(E52&amp;" Curncy","PX_LAST")</f>
        <v>1</v>
      </c>
      <c r="M52" s="51">
        <v>1</v>
      </c>
      <c r="N52" s="15">
        <f t="shared" si="5"/>
        <v>3608242.72</v>
      </c>
      <c r="O52" s="351">
        <f>IFERROR(IF(Tabelad[[#This Row],[D1 Exp USD]]&lt;&gt;0,N52/$AE$7,0),"-")</f>
        <v>1.5058412364015272E-3</v>
      </c>
      <c r="P52" s="19">
        <f>IFERROR(IF(Tabelad[[#This Row],[D1 Exp USD]]&lt;&gt;0,((I52-K52)/L52*M52*H52)/$AD$7*10000,0),"-")</f>
        <v>-0.44004565353421671</v>
      </c>
      <c r="Q52" s="15">
        <f>IF(SUM(SUMIFS(Options!$AL$4:$AL$32, Options!$D$4:$D$32, B52), SUMIFS(Options!$AL$4:$AL$32, Options!$D$4:$D$32, B52 &amp; " US"))=0,0,SUM(SUMIFS(Options!$AL$4:$AL$32, Options!$D$4:$D$32, B52), SUMIFS(Options!$AL$4:$AL$32, Options!$D$4:$D$32, B52 &amp; " US")))</f>
        <v>1052636.1979365349</v>
      </c>
      <c r="R52" s="18">
        <f t="shared" si="36"/>
        <v>4.3930054510904807E-4</v>
      </c>
      <c r="S52" s="19">
        <f>IF(SUM(SUMIFS(Options!$AK$4:$AK$32, Options!$D$4:$D$32, B52), SUMIFS(Options!$AK$4:$AK$32, Options!$D$4:$D$32, B52 &amp; " US"))=0,0,SUM(SUMIFS(Options!$AK$4:$AK$32, Options!$D$4:$D$32, B52), SUMIFS(Options!AK$4:$AK$32, Options!$D$4:$D$32, B52 &amp; " US")))</f>
        <v>-0.11393209643546845</v>
      </c>
      <c r="T52" s="13">
        <f t="shared" si="7"/>
        <v>4660878.9179365356</v>
      </c>
      <c r="U52" s="47">
        <f t="shared" si="8"/>
        <v>1.9451417815105755E-3</v>
      </c>
      <c r="V52" s="19">
        <f t="shared" si="9"/>
        <v>-0.55397774996968518</v>
      </c>
      <c r="W52" s="15">
        <f t="shared" si="10"/>
        <v>8902.2399413330368</v>
      </c>
      <c r="X52" s="18"/>
      <c r="Y52" s="369">
        <f>Tabelad[[#This Row],[Exp %]]*$Y$10*$AD$7/Tabelad[[#This Row],[Price Today]]</f>
        <v>9045.7337322711937</v>
      </c>
      <c r="Z52" s="260">
        <f>Tabelad[[#This Row],[Vol 10d]]/16*Tabelad[[#This Row],[Exp %]]*100</f>
        <v>0.34340016890045616</v>
      </c>
      <c r="AA52" s="18">
        <f>Tabelad[[#This Row],[Exp %]]*Tabelad[[#This Row],[Beta Adj2]]</f>
        <v>3.5816264518279844E-3</v>
      </c>
      <c r="AB52" s="35">
        <f>_xll.BDP($B52&amp;" Equity","volatility_10d")</f>
        <v>28.246798020761275</v>
      </c>
      <c r="AC52" s="35" cm="1">
        <f t="array" ref="AC52">_xll.BDP(B52&amp;" EQUITY","eqy_beta")</f>
        <v>1.8413189649581909</v>
      </c>
      <c r="AD52" s="15">
        <f>Tabelad[[#This Row],[D1 P&amp;L bps]]*$AD$5/10000</f>
        <v>-98835.796935882885</v>
      </c>
      <c r="AE52" s="271"/>
      <c r="AF52" s="226" t="str">
        <f>_xll.BDP(B52&amp;" Equity","EXPECTED_REPORT_DT")</f>
        <v>25/02/2026</v>
      </c>
      <c r="AG52" s="171">
        <f>_xll.BDP(B52&amp;" Index","CHG_PCT_1D_PRE_FROM_REGULAR")/100</f>
        <v>2.3705750000000002E-3</v>
      </c>
      <c r="AH52" s="19">
        <f t="shared" si="11"/>
        <v>4.6111044787044322E-2</v>
      </c>
      <c r="AI52" s="431" t="str">
        <f>_xll.BDP(B52&amp;" Equity","DVD_EX_DT")</f>
        <v>04/12/2025</v>
      </c>
    </row>
    <row r="53" spans="1:35" s="58" customFormat="1">
      <c r="A53" s="467" t="s">
        <v>1770</v>
      </c>
      <c r="B53" s="417" t="s">
        <v>94</v>
      </c>
      <c r="C53" s="58" t="s">
        <v>1880</v>
      </c>
      <c r="E53" s="58" t="s">
        <v>194</v>
      </c>
      <c r="F53" s="162" t="s">
        <v>99</v>
      </c>
      <c r="G53" s="398"/>
      <c r="H53" s="468">
        <v>3019</v>
      </c>
      <c r="I53" s="14" cm="1">
        <f t="array" ref="I53">_xll.BDP(B53&amp;" Equity","LAST_PRICE")</f>
        <v>180.34</v>
      </c>
      <c r="J53" s="469">
        <f t="shared" si="4"/>
        <v>-2.2131238242779627E-3</v>
      </c>
      <c r="K53" s="515">
        <v>180.74</v>
      </c>
      <c r="L53" s="8">
        <f>_xll.BDP(E53&amp;" Curncy","PX_LAST")</f>
        <v>1</v>
      </c>
      <c r="M53" s="470">
        <v>1</v>
      </c>
      <c r="N53" s="398">
        <f t="shared" si="5"/>
        <v>544446.46</v>
      </c>
      <c r="O53" s="471">
        <f>IFERROR(IF(Tabelad[[#This Row],[D1 Exp USD]]&lt;&gt;0,N53/$AE$7,0),"-")</f>
        <v>2.2721584829549232E-4</v>
      </c>
      <c r="P53" s="472">
        <f>IFERROR(IF(Tabelad[[#This Row],[D1 Exp USD]]&lt;&gt;0,((I53-K53)/L53*M53*H53)/$AD$7*10000,0),"-")</f>
        <v>-5.0397215991015987E-3</v>
      </c>
      <c r="Q53" s="398"/>
      <c r="R53" s="127"/>
      <c r="S53" s="472"/>
      <c r="T53" s="473">
        <f t="shared" si="7"/>
        <v>544446.46</v>
      </c>
      <c r="U53" s="474">
        <f t="shared" si="8"/>
        <v>2.2721584829549232E-4</v>
      </c>
      <c r="V53" s="472">
        <f t="shared" si="9"/>
        <v>-5.0397215991015987E-3</v>
      </c>
      <c r="W53" s="398">
        <f t="shared" si="10"/>
        <v>8902.2399413330368</v>
      </c>
      <c r="X53" s="127"/>
      <c r="Y53" s="475">
        <f>Tabelad[[#This Row],[Exp %]]*$Y$10*$AD$7/Tabelad[[#This Row],[Price Today]]</f>
        <v>1056.6499999999999</v>
      </c>
      <c r="Z53" s="476">
        <f>Tabelad[[#This Row],[Vol 10d]]/16*Tabelad[[#This Row],[Exp %]]*100</f>
        <v>4.0113251086991916E-2</v>
      </c>
      <c r="AA53" s="127">
        <f>Tabelad[[#This Row],[Exp %]]*Tabelad[[#This Row],[Beta Adj2]]</f>
        <v>4.1837685060555326E-4</v>
      </c>
      <c r="AB53" s="14">
        <f>_xll.BDP($B53&amp;" Equity","volatility_10d")</f>
        <v>28.246798020761275</v>
      </c>
      <c r="AC53" s="14" cm="1">
        <f t="array" ref="AC53">_xll.BDP(B53&amp;" EQUITY","eqy_beta")</f>
        <v>1.8413189649581909</v>
      </c>
      <c r="AD53" s="398">
        <f>Tabelad[[#This Row],[D1 P&amp;L bps]]*$AD$5/10000</f>
        <v>-1131.9391444539228</v>
      </c>
      <c r="AE53" s="331"/>
      <c r="AF53" s="477" t="str">
        <f>_xll.BDP(B53&amp;" Equity","EXPECTED_REPORT_DT")</f>
        <v>25/02/2026</v>
      </c>
      <c r="AG53" s="478">
        <f>_xll.BDP(B53&amp;" Index","CHG_PCT_1D_PRE_FROM_REGULAR")/100</f>
        <v>2.3705750000000002E-3</v>
      </c>
      <c r="AH53" s="472">
        <f t="shared" si="11"/>
        <v>5.3863220957308666E-3</v>
      </c>
      <c r="AI53" s="479" t="str">
        <f>_xll.BDP(B53&amp;" Equity","DVD_EX_DT")</f>
        <v>04/12/2025</v>
      </c>
    </row>
    <row r="54" spans="1:35">
      <c r="B54" s="39" t="s">
        <v>138</v>
      </c>
      <c r="C54" t="s">
        <v>1880</v>
      </c>
      <c r="E54" t="s">
        <v>194</v>
      </c>
      <c r="F54" s="21" t="s">
        <v>100</v>
      </c>
      <c r="G54" s="15"/>
      <c r="H54" s="432">
        <v>2951</v>
      </c>
      <c r="I54" s="35" cm="1">
        <f t="array" ref="I54">_xll.BDP(B54&amp;" Equity","LAST_PRICE")</f>
        <v>75.540000000000006</v>
      </c>
      <c r="J54" s="50">
        <f t="shared" si="4"/>
        <v>-3.9664378337147088E-2</v>
      </c>
      <c r="K54" s="424">
        <f>_xll.BDP(B54&amp;" equity","PX_YEST_CLOSE")</f>
        <v>78.66</v>
      </c>
      <c r="L54" s="52">
        <f>_xll.BDP(E54&amp;" Curncy","PX_LAST")</f>
        <v>1</v>
      </c>
      <c r="M54" s="51">
        <v>1</v>
      </c>
      <c r="N54" s="15">
        <f t="shared" si="5"/>
        <v>222918.54</v>
      </c>
      <c r="O54" s="351">
        <f>IFERROR(IF(Tabelad[[#This Row],[D1 Exp USD]]&lt;&gt;0,N54/$AE$7,0),"-")</f>
        <v>9.3031416104519518E-5</v>
      </c>
      <c r="P54" s="19">
        <f>IFERROR(IF(Tabelad[[#This Row],[D1 Exp USD]]&lt;&gt;0,((I54-K54)/L54*M54*H54)/$AD$7*10000,0),"-")</f>
        <v>-3.8424413323550434E-2</v>
      </c>
      <c r="Q54" s="15">
        <f>IF(SUM(SUMIFS(Options!$AL$4:$AL$32, Options!$D$4:$D$32, B54), SUMIFS(Options!$AL$4:$AL$32, Options!$D$4:$D$32, B54 &amp; " US"))=0,0,SUM(SUMIFS(Options!$AL$4:$AL$32, Options!$D$4:$D$32, B54), SUMIFS(Options!$AL$4:$AL$32, Options!$D$4:$D$32, B54 &amp; " US")))</f>
        <v>-628072.36063331389</v>
      </c>
      <c r="R54" s="18">
        <f t="shared" si="36"/>
        <v>-2.6211575370009902E-4</v>
      </c>
      <c r="S54" s="19">
        <f>IF(SUM(SUMIFS(Options!$AK$4:$AK$32, Options!$D$4:$D$32, B54), SUMIFS(Options!$AK$4:$AK$32, Options!$D$4:$D$32, B54 &amp; " US"))=0,0,SUM(SUMIFS(Options!$AK$4:$AK$32, Options!$D$4:$D$32, B54), SUMIFS(Options!AK$4:$AK$32, Options!$D$4:$D$32, B54 &amp; " US")))</f>
        <v>8.0754068352612229E-2</v>
      </c>
      <c r="T54" s="13">
        <f t="shared" si="7"/>
        <v>-405153.82063331385</v>
      </c>
      <c r="U54" s="47">
        <f t="shared" si="8"/>
        <v>-1.6908433759557946E-4</v>
      </c>
      <c r="V54" s="19">
        <f t="shared" si="9"/>
        <v>4.2329655029061795E-2</v>
      </c>
      <c r="W54" s="15">
        <f t="shared" si="10"/>
        <v>21252.713145618214</v>
      </c>
      <c r="X54" s="18"/>
      <c r="Y54" s="369">
        <f>Tabelad[[#This Row],[Exp %]]*$Y$10*$AD$7/Tabelad[[#This Row],[Price Today]]</f>
        <v>-1877.2019753992563</v>
      </c>
      <c r="Z54" s="260">
        <f>Tabelad[[#This Row],[Vol 10d]]/16*Tabelad[[#This Row],[Exp %]]*100</f>
        <v>-3.9772851220630581E-2</v>
      </c>
      <c r="AA54" s="18">
        <f>Tabelad[[#This Row],[Exp %]]*Tabelad[[#This Row],[Beta Adj2]]</f>
        <v>-3.3561695256897298E-4</v>
      </c>
      <c r="AB54" s="35">
        <f>_xll.BDP($B54&amp;" Equity","volatility_10d")</f>
        <v>37.635988559281344</v>
      </c>
      <c r="AC54" s="35">
        <f>_xll.BDP(B54&amp;" EQUITY","eqy_beta")</f>
        <v>1.9849085807800293</v>
      </c>
      <c r="AD54" s="15">
        <f>Tabelad[[#This Row],[D1 P&amp;L bps]]*$AD$5/10000</f>
        <v>-8630.2579792020715</v>
      </c>
      <c r="AE54" s="271"/>
      <c r="AF54" s="226" t="str">
        <f>_xll.BDP(B54&amp;" Equity","EXPECTED_REPORT_DT")</f>
        <v>05/03/2026</v>
      </c>
      <c r="AG54" s="171">
        <f>_xll.BDP(B54&amp;" Index","CHG_PCT_1D_PRE_FROM_REGULAR")/100</f>
        <v>-1.0170590000000001E-3</v>
      </c>
      <c r="AH54" s="19">
        <f t="shared" si="11"/>
        <v>1.7196874731062247E-3</v>
      </c>
      <c r="AI54" s="431" t="str">
        <f>_xll.BDP(B54&amp;" Equity","DVD_EX_DT")</f>
        <v>09/01/2026</v>
      </c>
    </row>
    <row r="55" spans="1:35" s="58" customFormat="1">
      <c r="A55" s="467" t="s">
        <v>1770</v>
      </c>
      <c r="B55" s="417" t="s">
        <v>138</v>
      </c>
      <c r="C55" s="58" t="s">
        <v>1880</v>
      </c>
      <c r="E55" s="58" t="s">
        <v>194</v>
      </c>
      <c r="F55" s="162" t="s">
        <v>100</v>
      </c>
      <c r="G55" s="398"/>
      <c r="H55" s="468">
        <v>-2951</v>
      </c>
      <c r="I55" s="14" cm="1">
        <f t="array" ref="I55">_xll.BDP(B55&amp;" Equity","LAST_PRICE")</f>
        <v>75.540000000000006</v>
      </c>
      <c r="J55" s="469">
        <f t="shared" si="4"/>
        <v>2.9015120555782703E-2</v>
      </c>
      <c r="K55" s="515">
        <v>73.41</v>
      </c>
      <c r="L55" s="8">
        <f>_xll.BDP(E55&amp;" Curncy","PX_LAST")</f>
        <v>1</v>
      </c>
      <c r="M55" s="470">
        <v>1</v>
      </c>
      <c r="N55" s="398">
        <f t="shared" si="5"/>
        <v>-222918.54</v>
      </c>
      <c r="O55" s="471">
        <f>IFERROR(IF(Tabelad[[#This Row],[D1 Exp USD]]&lt;&gt;0,N55/$AE$7,0),"-")</f>
        <v>-9.3031416104519518E-5</v>
      </c>
      <c r="P55" s="472">
        <f>IFERROR(IF(Tabelad[[#This Row],[D1 Exp USD]]&lt;&gt;0,((I55-K55)/L55*M55*H55)/$AD$7*10000,0),"-")</f>
        <v>-2.62320514035779E-2</v>
      </c>
      <c r="Q55" s="398"/>
      <c r="R55" s="127"/>
      <c r="S55" s="472"/>
      <c r="T55" s="473">
        <f t="shared" si="7"/>
        <v>-222918.54</v>
      </c>
      <c r="U55" s="474">
        <f t="shared" si="8"/>
        <v>-9.3031416104519518E-5</v>
      </c>
      <c r="V55" s="472">
        <f t="shared" si="9"/>
        <v>-2.62320514035779E-2</v>
      </c>
      <c r="W55" s="398">
        <f t="shared" si="10"/>
        <v>21252.713145618214</v>
      </c>
      <c r="X55" s="127"/>
      <c r="Y55" s="475">
        <f>Tabelad[[#This Row],[Exp %]]*$Y$10*$AD$7/Tabelad[[#This Row],[Price Today]]</f>
        <v>-1032.8499999999997</v>
      </c>
      <c r="Z55" s="476">
        <f>Tabelad[[#This Row],[Vol 10d]]/16*Tabelad[[#This Row],[Exp %]]*100</f>
        <v>-2.1883308201021492E-2</v>
      </c>
      <c r="AA55" s="127">
        <f>Tabelad[[#This Row],[Exp %]]*Tabelad[[#This Row],[Beta Adj2]]</f>
        <v>-1.8465885610797819E-4</v>
      </c>
      <c r="AB55" s="14">
        <f>_xll.BDP($B55&amp;" Equity","volatility_10d")</f>
        <v>37.635988559281344</v>
      </c>
      <c r="AC55" s="14">
        <f>_xll.BDP(B55&amp;" EQUITY","eqy_beta")</f>
        <v>1.9849085807800293</v>
      </c>
      <c r="AD55" s="398">
        <f>Tabelad[[#This Row],[D1 P&amp;L bps]]*$AD$5/10000</f>
        <v>-5891.8107358014586</v>
      </c>
      <c r="AE55" s="331"/>
      <c r="AF55" s="477" t="str">
        <f>_xll.BDP(B55&amp;" Equity","EXPECTED_REPORT_DT")</f>
        <v>05/03/2026</v>
      </c>
      <c r="AG55" s="478">
        <f>_xll.BDP(B55&amp;" Index","CHG_PCT_1D_PRE_FROM_REGULAR")/100</f>
        <v>-1.0170590000000001E-3</v>
      </c>
      <c r="AH55" s="472">
        <f t="shared" si="11"/>
        <v>9.4618439031846514E-4</v>
      </c>
      <c r="AI55" s="479" t="str">
        <f>_xll.BDP(B55&amp;" Equity","DVD_EX_DT")</f>
        <v>09/01/2026</v>
      </c>
    </row>
    <row r="56" spans="1:35">
      <c r="B56" s="39" t="s">
        <v>2128</v>
      </c>
      <c r="C56" t="s">
        <v>2129</v>
      </c>
      <c r="E56" t="s">
        <v>194</v>
      </c>
      <c r="F56" s="21" t="s">
        <v>99</v>
      </c>
      <c r="G56" s="15"/>
      <c r="H56" s="432">
        <v>35500</v>
      </c>
      <c r="I56" s="35" cm="1">
        <f t="array" ref="I56">_xll.BDP(B56&amp;" Equity","LAST_PRICE")</f>
        <v>15.34</v>
      </c>
      <c r="J56" s="50">
        <f t="shared" si="4"/>
        <v>1.3054830287206887E-3</v>
      </c>
      <c r="K56" s="424">
        <f>_xll.BDP(B56&amp;" equity","PX_YEST_CLOSE")</f>
        <v>15.32</v>
      </c>
      <c r="L56" s="52">
        <f>_xll.BDP(E56&amp;" Curncy","PX_LAST")</f>
        <v>1</v>
      </c>
      <c r="M56" s="51">
        <v>1</v>
      </c>
      <c r="N56" s="15">
        <f t="shared" si="5"/>
        <v>544570</v>
      </c>
      <c r="O56" s="351">
        <f>IFERROR(IF(Tabelad[[#This Row],[D1 Exp USD]]&lt;&gt;0,N56/$AE$7,0),"-")</f>
        <v>2.2726740569913202E-4</v>
      </c>
      <c r="P56" s="19">
        <f>IFERROR(IF(Tabelad[[#This Row],[D1 Exp USD]]&lt;&gt;0,((I56-K56)/L56*M56*H56)/$AD$7*10000,0),"-")</f>
        <v>2.9630691746952696E-3</v>
      </c>
      <c r="Q56" s="15">
        <f>IF(SUM(SUMIFS(Options!$AL$4:$AL$32, Options!$D$4:$D$32, B56), SUMIFS(Options!$AL$4:$AL$32, Options!$D$4:$D$32, B56 &amp; " US"))=0,0,SUM(SUMIFS(Options!$AL$4:$AL$32, Options!$D$4:$D$32, B56), SUMIFS(Options!$AL$4:$AL$32, Options!$D$4:$D$32, B56 &amp; " US")))</f>
        <v>0</v>
      </c>
      <c r="R56" s="18">
        <f t="shared" si="36"/>
        <v>0</v>
      </c>
      <c r="S56" s="19">
        <f>IF(SUM(SUMIFS(Options!$AK$4:$AK$32, Options!$D$4:$D$32, B56), SUMIFS(Options!$AK$4:$AK$32, Options!$D$4:$D$32, B56 &amp; " US"))=0,0,SUM(SUMIFS(Options!$AK$4:$AK$32, Options!$D$4:$D$32, B56), SUMIFS(Options!AK$4:$AK$32, Options!$D$4:$D$32, B56 &amp; " US")))</f>
        <v>0</v>
      </c>
      <c r="T56" s="13">
        <f t="shared" si="7"/>
        <v>544570</v>
      </c>
      <c r="U56" s="47">
        <f t="shared" si="8"/>
        <v>2.2726740569913202E-4</v>
      </c>
      <c r="V56" s="19">
        <f t="shared" si="9"/>
        <v>2.9630691746952696E-3</v>
      </c>
      <c r="W56" s="15">
        <f t="shared" si="10"/>
        <v>104656.45052281617</v>
      </c>
      <c r="X56" s="18"/>
      <c r="Y56" s="369">
        <f>Tabelad[[#This Row],[Exp %]]*$Y$10*$AD$7/Tabelad[[#This Row],[Price Today]]</f>
        <v>12425</v>
      </c>
      <c r="Z56" s="260">
        <f>Tabelad[[#This Row],[Vol 10d]]/16*Tabelad[[#This Row],[Exp %]]*100</f>
        <v>0.11025291976446469</v>
      </c>
      <c r="AA56" s="18">
        <f>Tabelad[[#This Row],[Exp %]]*Tabelad[[#This Row],[Beta Adj2]]</f>
        <v>4.6150085986401332E-4</v>
      </c>
      <c r="AB56" s="35">
        <f>_xll.BDP($B56&amp;" Equity","volatility_10d")</f>
        <v>77.619872977595762</v>
      </c>
      <c r="AC56" s="35">
        <f>_xll.BDP(B56&amp;" EQUITY","eqy_beta")</f>
        <v>2.030651330947876</v>
      </c>
      <c r="AD56" s="15">
        <f>Tabelad[[#This Row],[D1 P&amp;L bps]]*$AD$5/10000</f>
        <v>665.5157275275393</v>
      </c>
      <c r="AE56" s="271"/>
      <c r="AF56" s="226" t="str">
        <f>_xll.BDP(B56&amp;" Equity","EXPECTED_REPORT_DT")</f>
        <v>24/02/2026</v>
      </c>
      <c r="AG56" s="171">
        <f>_xll.BDP(B56&amp;" Index","CHG_PCT_1D_PRE_FROM_REGULAR")/100</f>
        <v>9.7911600000000001E-3</v>
      </c>
      <c r="AH56" s="19">
        <f t="shared" si="11"/>
        <v>2.2252115319851135E-2</v>
      </c>
      <c r="AI56" s="431" t="str">
        <f>_xll.BDP(B56&amp;" Equity","DVD_EX_DT")</f>
        <v>12/10/2017</v>
      </c>
    </row>
    <row r="57" spans="1:35" s="58" customFormat="1">
      <c r="A57" s="467" t="s">
        <v>1770</v>
      </c>
      <c r="B57" s="417" t="s">
        <v>2487</v>
      </c>
      <c r="C57" s="58" t="s">
        <v>2129</v>
      </c>
      <c r="E57" s="58" t="s">
        <v>194</v>
      </c>
      <c r="F57" s="162" t="s">
        <v>99</v>
      </c>
      <c r="G57" s="398"/>
      <c r="H57" s="468">
        <v>26000</v>
      </c>
      <c r="I57" s="14" cm="1">
        <f t="array" ref="I57">_xll.BDP(B57&amp;" Equity","LAST_PRICE")</f>
        <v>68.5</v>
      </c>
      <c r="J57" s="469">
        <f t="shared" si="4"/>
        <v>3.9572035761394897E-3</v>
      </c>
      <c r="K57" s="515">
        <v>68.23</v>
      </c>
      <c r="L57" s="8">
        <f>_xll.BDP(E57&amp;" Curncy","PX_LAST")</f>
        <v>1</v>
      </c>
      <c r="M57" s="470">
        <v>1</v>
      </c>
      <c r="N57" s="398">
        <f t="shared" si="5"/>
        <v>1781000</v>
      </c>
      <c r="O57" s="471">
        <f>IFERROR(IF(Tabelad[[#This Row],[D1 Exp USD]]&lt;&gt;0,N57/$AE$7,0),"-")</f>
        <v>7.4327129579329404E-4</v>
      </c>
      <c r="P57" s="472">
        <f>IFERROR(IF(Tabelad[[#This Row],[D1 Exp USD]]&lt;&gt;0,((I57-K57)/L57*M57*H57)/$AD$7*10000,0),"-")</f>
        <v>2.929682479769145E-2</v>
      </c>
      <c r="Q57" s="398"/>
      <c r="R57" s="127"/>
      <c r="S57" s="472"/>
      <c r="T57" s="473">
        <f t="shared" si="7"/>
        <v>1781000</v>
      </c>
      <c r="U57" s="474">
        <f t="shared" si="8"/>
        <v>7.4327129579329404E-4</v>
      </c>
      <c r="V57" s="472">
        <f t="shared" si="9"/>
        <v>2.929682479769145E-2</v>
      </c>
      <c r="W57" s="398">
        <f t="shared" si="10"/>
        <v>23436.933591532848</v>
      </c>
      <c r="X57" s="127"/>
      <c r="Y57" s="475">
        <f>Tabelad[[#This Row],[Exp %]]*$Y$10*$AD$7/Tabelad[[#This Row],[Price Today]]</f>
        <v>9100</v>
      </c>
      <c r="Z57" s="476">
        <f>Tabelad[[#This Row],[Vol 10d]]/16*Tabelad[[#This Row],[Exp %]]*100</f>
        <v>0.11464047584963681</v>
      </c>
      <c r="AA57" s="127">
        <f>Tabelad[[#This Row],[Exp %]]*Tabelad[[#This Row],[Beta Adj2]]</f>
        <v>5.1360076416869719E-4</v>
      </c>
      <c r="AB57" s="14">
        <f>_xll.BDP($B57&amp;" Equity","volatility_10d")</f>
        <v>24.678036458228824</v>
      </c>
      <c r="AC57" s="14">
        <f>_xll.BDP(B57&amp;" EQUITY","eqy_beta")</f>
        <v>0.69100040197372437</v>
      </c>
      <c r="AD57" s="398">
        <f>Tabelad[[#This Row],[D1 P&amp;L bps]]*$AD$5/10000</f>
        <v>6580.1695876667</v>
      </c>
      <c r="AE57" s="331"/>
      <c r="AF57" s="477" t="str">
        <f>_xll.BDP(B57&amp;" Equity","EXPECTED_REPORT_DT")</f>
        <v>10/02/2026</v>
      </c>
      <c r="AG57" s="478">
        <f>_xll.BDP(B57&amp;" Index","CHG_PCT_1D_PRE_FROM_REGULAR")/100</f>
        <v>5.1251729999999994E-3</v>
      </c>
      <c r="AH57" s="472">
        <f t="shared" si="11"/>
        <v>3.8093939768748038E-2</v>
      </c>
      <c r="AI57" s="479" t="str">
        <f>_xll.BDP(B57&amp;" Equity","DVD_EX_DT")</f>
        <v>13/03/2026</v>
      </c>
    </row>
    <row r="58" spans="1:35">
      <c r="B58" s="39" t="s">
        <v>88</v>
      </c>
      <c r="C58" t="s">
        <v>2247</v>
      </c>
      <c r="E58" t="s">
        <v>194</v>
      </c>
      <c r="F58" s="21" t="s">
        <v>99</v>
      </c>
      <c r="G58" s="15"/>
      <c r="H58" s="432">
        <v>45750</v>
      </c>
      <c r="I58" s="35" cm="1">
        <f t="array" ref="I58">_xll.BDP(B58&amp;" Equity","LAST_PRICE")</f>
        <v>53.53</v>
      </c>
      <c r="J58" s="50">
        <f t="shared" si="4"/>
        <v>-9.2541180825467251E-3</v>
      </c>
      <c r="K58" s="424">
        <f>_xll.BDP(B58&amp;" equity","PX_YEST_CLOSE")</f>
        <v>54.03</v>
      </c>
      <c r="L58" s="52">
        <f>_xll.BDP(E58&amp;" Curncy","PX_LAST")</f>
        <v>1</v>
      </c>
      <c r="M58" s="51">
        <v>1</v>
      </c>
      <c r="N58" s="15">
        <f t="shared" si="5"/>
        <v>2448997.5</v>
      </c>
      <c r="O58" s="351">
        <f>IFERROR(IF(Tabelad[[#This Row],[D1 Exp USD]]&lt;&gt;0,N58/$AE$7,0),"-")</f>
        <v>1.022049155092385E-3</v>
      </c>
      <c r="P58" s="19">
        <f>IFERROR(IF(Tabelad[[#This Row],[D1 Exp USD]]&lt;&gt;0,((I58-K58)/L58*M58*H58)/$AD$7*10000,0),"-")</f>
        <v>-9.5465080804444699E-2</v>
      </c>
      <c r="Q58" s="15">
        <f>IF(SUM(SUMIFS(Options!$AL$4:$AL$32, Options!$D$4:$D$32, B58), SUMIFS(Options!$AL$4:$AL$32, Options!$D$4:$D$32, B58 &amp; " US"))=0,0,SUM(SUMIFS(Options!$AL$4:$AL$32, Options!$D$4:$D$32, B58), SUMIFS(Options!$AL$4:$AL$32, Options!$D$4:$D$32, B58 &amp; " US")))</f>
        <v>0</v>
      </c>
      <c r="R58" s="18">
        <f t="shared" si="36"/>
        <v>0</v>
      </c>
      <c r="S58" s="19">
        <f>IF(SUM(SUMIFS(Options!$AK$4:$AK$32, Options!$D$4:$D$32, B58), SUMIFS(Options!$AK$4:$AK$32, Options!$D$4:$D$32, B58 &amp; " US"))=0,0,SUM(SUMIFS(Options!$AK$4:$AK$32, Options!$D$4:$D$32, B58), SUMIFS(Options!AK$4:$AK$32, Options!$D$4:$D$32, B58 &amp; " US")))</f>
        <v>0</v>
      </c>
      <c r="T58" s="13">
        <f t="shared" si="7"/>
        <v>2448997.5</v>
      </c>
      <c r="U58" s="47">
        <f t="shared" si="8"/>
        <v>1.022049155092385E-3</v>
      </c>
      <c r="V58" s="19">
        <f t="shared" si="9"/>
        <v>-9.5465080804444699E-2</v>
      </c>
      <c r="W58" s="15">
        <f t="shared" si="10"/>
        <v>29991.218961703718</v>
      </c>
      <c r="X58" s="18"/>
      <c r="Y58" s="369">
        <f>Tabelad[[#This Row],[Exp %]]*$Y$10*$AD$7/Tabelad[[#This Row],[Price Today]]</f>
        <v>16012.499999999998</v>
      </c>
      <c r="Z58" s="260">
        <f>Tabelad[[#This Row],[Vol 10d]]/16*Tabelad[[#This Row],[Exp %]]*100</f>
        <v>9.2422732803817575E-2</v>
      </c>
      <c r="AA58" s="18">
        <f>Tabelad[[#This Row],[Exp %]]*Tabelad[[#This Row],[Beta Adj2]]</f>
        <v>1.0219016095726972E-3</v>
      </c>
      <c r="AB58" s="35">
        <f>_xll.BDP($B58&amp;" Equity","volatility_10d")</f>
        <v>14.468616479873836</v>
      </c>
      <c r="AC58" s="35">
        <f>_xll.BDP(B58&amp;" EQUITY","eqy_beta")</f>
        <v>0.999855637550354</v>
      </c>
      <c r="AD58" s="15">
        <f>Tabelad[[#This Row],[D1 P&amp;L bps]]*$AD$5/10000</f>
        <v>-21441.791925623642</v>
      </c>
      <c r="AE58" s="271"/>
      <c r="AF58" s="226" t="str">
        <f>_xll.BDP(B58&amp;" Equity","EXPECTED_REPORT_DT")</f>
        <v>#N/A N/A</v>
      </c>
      <c r="AG58" s="171">
        <f>_xll.BDP(B58&amp;" Index","CHG_PCT_1D_PRE_FROM_REGULAR")/100</f>
        <v>-4.0717640000000003E-3</v>
      </c>
      <c r="AH58" s="19">
        <f t="shared" si="11"/>
        <v>-4.1615429559355904E-2</v>
      </c>
      <c r="AI58" s="431" t="str">
        <f>_xll.BDP(B58&amp;" Equity","DVD_EX_DT")</f>
        <v>22/12/2025</v>
      </c>
    </row>
    <row r="59" spans="1:35" s="58" customFormat="1">
      <c r="A59" s="467" t="s">
        <v>1770</v>
      </c>
      <c r="B59" s="417" t="s">
        <v>88</v>
      </c>
      <c r="C59" s="58" t="s">
        <v>2247</v>
      </c>
      <c r="E59" s="58" t="s">
        <v>194</v>
      </c>
      <c r="F59" s="162" t="s">
        <v>99</v>
      </c>
      <c r="G59" s="398"/>
      <c r="H59" s="468">
        <v>-22250</v>
      </c>
      <c r="I59" s="14" cm="1">
        <f t="array" ref="I59">_xll.BDP(B59&amp;" Equity","LAST_PRICE")</f>
        <v>53.53</v>
      </c>
      <c r="J59" s="469">
        <f t="shared" si="4"/>
        <v>-6.1269959153360531E-3</v>
      </c>
      <c r="K59" s="515">
        <v>53.86</v>
      </c>
      <c r="L59" s="8">
        <f>_xll.BDP(E59&amp;" Curncy","PX_LAST")</f>
        <v>1</v>
      </c>
      <c r="M59" s="470">
        <v>1</v>
      </c>
      <c r="N59" s="398">
        <f t="shared" si="5"/>
        <v>-1191042.5</v>
      </c>
      <c r="O59" s="471">
        <f>IFERROR(IF(Tabelad[[#This Row],[D1 Exp USD]]&lt;&gt;0,N59/$AE$7,0),"-")</f>
        <v>-4.9706215739465714E-4</v>
      </c>
      <c r="P59" s="472">
        <f>IFERROR(IF(Tabelad[[#This Row],[D1 Exp USD]]&lt;&gt;0,((I59-K59)/L59*M59*H59)/$AD$7*10000,0),"-")</f>
        <v>3.0642725936901927E-2</v>
      </c>
      <c r="Q59" s="398">
        <f>IF(SUM(SUMIFS(Options!$AL$4:$AL$32, Options!$D$4:$D$32, B59), SUMIFS(Options!$AL$4:$AL$32, Options!$D$4:$D$32, B59 &amp; " US"))=0,0,SUM(SUMIFS(Options!$AL$4:$AL$32, Options!$D$4:$D$32, B59), SUMIFS(Options!$AL$4:$AL$32, Options!$D$4:$D$32, B59 &amp; " US")))</f>
        <v>0</v>
      </c>
      <c r="R59" s="127">
        <f t="shared" si="36"/>
        <v>0</v>
      </c>
      <c r="S59" s="472">
        <f>IF(SUM(SUMIFS(Options!$AK$4:$AK$32, Options!$D$4:$D$32, B59), SUMIFS(Options!$AK$4:$AK$32, Options!$D$4:$D$32, B59 &amp; " US"))=0,0,SUM(SUMIFS(Options!$AK$4:$AK$32, Options!$D$4:$D$32, B59), SUMIFS(Options!AK$4:$AK$32, Options!$D$4:$D$32, B59 &amp; " US")))</f>
        <v>0</v>
      </c>
      <c r="T59" s="473">
        <f t="shared" si="7"/>
        <v>-1191042.5</v>
      </c>
      <c r="U59" s="474">
        <f t="shared" si="8"/>
        <v>-4.9706215739465714E-4</v>
      </c>
      <c r="V59" s="472">
        <f t="shared" si="9"/>
        <v>3.0642725936901927E-2</v>
      </c>
      <c r="W59" s="398">
        <f t="shared" si="10"/>
        <v>29991.218961703718</v>
      </c>
      <c r="X59" s="127"/>
      <c r="Y59" s="475">
        <f>Tabelad[[#This Row],[Exp %]]*$Y$10*$AD$7/Tabelad[[#This Row],[Price Today]]</f>
        <v>-7787.4999999999991</v>
      </c>
      <c r="Z59" s="476">
        <f>Tabelad[[#This Row],[Vol 10d]]/16*Tabelad[[#This Row],[Exp %]]*100</f>
        <v>-4.4948760762512363E-2</v>
      </c>
      <c r="AA59" s="127">
        <f>Tabelad[[#This Row],[Exp %]]*Tabelad[[#This Row],[Beta Adj2]]</f>
        <v>-4.9699040028398933E-4</v>
      </c>
      <c r="AB59" s="14">
        <f>_xll.BDP($B59&amp;" Equity","volatility_10d")</f>
        <v>14.468616479873836</v>
      </c>
      <c r="AC59" s="14">
        <f>_xll.BDP(B59&amp;" EQUITY","eqy_beta")</f>
        <v>0.999855637550354</v>
      </c>
      <c r="AD59" s="398">
        <f>Tabelad[[#This Row],[D1 P&amp;L bps]]*$AD$5/10000</f>
        <v>6882.4637033394893</v>
      </c>
      <c r="AE59" s="331"/>
      <c r="AF59" s="477" t="str">
        <f>_xll.BDP(B59&amp;" Equity","EXPECTED_REPORT_DT")</f>
        <v>#N/A N/A</v>
      </c>
      <c r="AG59" s="478">
        <f>_xll.BDP(B59&amp;" Index","CHG_PCT_1D_PRE_FROM_REGULAR")/100</f>
        <v>-4.0717640000000003E-3</v>
      </c>
      <c r="AH59" s="472">
        <f t="shared" si="11"/>
        <v>2.023919798241899E-2</v>
      </c>
      <c r="AI59" s="479" t="str">
        <f>_xll.BDP(B59&amp;" Equity","DVD_EX_DT")</f>
        <v>22/12/2025</v>
      </c>
    </row>
    <row r="60" spans="1:35" s="58" customFormat="1">
      <c r="A60" s="467" t="s">
        <v>1770</v>
      </c>
      <c r="B60" s="417" t="s">
        <v>6</v>
      </c>
      <c r="C60" s="58" t="s">
        <v>2247</v>
      </c>
      <c r="E60" s="58" t="s">
        <v>194</v>
      </c>
      <c r="F60" s="162" t="s">
        <v>99</v>
      </c>
      <c r="G60" s="398"/>
      <c r="H60" s="468">
        <v>15000</v>
      </c>
      <c r="I60" s="14" cm="1">
        <f t="array" ref="I60">_xll.BDP(B60&amp;" Equity","LAST_PRICE")</f>
        <v>88.35</v>
      </c>
      <c r="J60" s="469">
        <f t="shared" si="4"/>
        <v>-3.3840947546532885E-3</v>
      </c>
      <c r="K60" s="515">
        <v>88.65</v>
      </c>
      <c r="L60" s="8">
        <f>_xll.BDP(E60&amp;" Curncy","PX_LAST")</f>
        <v>1</v>
      </c>
      <c r="M60" s="470">
        <v>1</v>
      </c>
      <c r="N60" s="398">
        <f t="shared" si="5"/>
        <v>1325250</v>
      </c>
      <c r="O60" s="471">
        <f>IFERROR(IF(Tabelad[[#This Row],[D1 Exp USD]]&lt;&gt;0,N60/$AE$7,0),"-")</f>
        <v>5.5307146813591407E-4</v>
      </c>
      <c r="P60" s="472">
        <f>IFERROR(IF(Tabelad[[#This Row],[D1 Exp USD]]&lt;&gt;0,((I60-K60)/L60*M60*H60)/$AD$7*10000,0),"-")</f>
        <v>-1.8780015895957049E-2</v>
      </c>
      <c r="Q60" s="398">
        <f>IF(SUM(SUMIFS(Options!$AL$4:$AL$32, Options!$D$4:$D$32, B60), SUMIFS(Options!$AL$4:$AL$32, Options!$D$4:$D$32, B60 &amp; " US"))=0,0,SUM(SUMIFS(Options!$AL$4:$AL$32, Options!$D$4:$D$32, B60), SUMIFS(Options!$AL$4:$AL$32, Options!$D$4:$D$32, B60 &amp; " US")))</f>
        <v>0</v>
      </c>
      <c r="R60" s="127">
        <f>Q60/$AE$7</f>
        <v>0</v>
      </c>
      <c r="S60" s="472">
        <f>IF(SUM(SUMIFS(Options!$AK$4:$AK$32, Options!$D$4:$D$32, B60), SUMIFS(Options!$AK$4:$AK$32, Options!$D$4:$D$32, B60 &amp; " US"))=0,0,SUM(SUMIFS(Options!$AK$4:$AK$32, Options!$D$4:$D$32, B60), SUMIFS(Options!AK$4:$AK$32, Options!$D$4:$D$32, B60 &amp; " US")))</f>
        <v>0</v>
      </c>
      <c r="T60" s="473">
        <f t="shared" si="7"/>
        <v>1325250</v>
      </c>
      <c r="U60" s="474">
        <f t="shared" si="8"/>
        <v>5.5307146813591407E-4</v>
      </c>
      <c r="V60" s="472">
        <f t="shared" si="9"/>
        <v>-1.8780015895957049E-2</v>
      </c>
      <c r="W60" s="398">
        <f t="shared" si="10"/>
        <v>18171.250153027733</v>
      </c>
      <c r="X60" s="127"/>
      <c r="Y60" s="475">
        <f>Tabelad[[#This Row],[Exp %]]*$Y$10*$AD$7/Tabelad[[#This Row],[Price Today]]</f>
        <v>5250</v>
      </c>
      <c r="Z60" s="476">
        <f>Tabelad[[#This Row],[Vol 10d]]/16*Tabelad[[#This Row],[Exp %]]*100</f>
        <v>6.3880686049912649E-2</v>
      </c>
      <c r="AA60" s="127">
        <f>Tabelad[[#This Row],[Exp %]]*Tabelad[[#This Row],[Beta Adj2]]</f>
        <v>5.5093120767808507E-4</v>
      </c>
      <c r="AB60" s="14">
        <f>_xll.BDP($B60&amp;" Equity","volatility_10d")</f>
        <v>18.480269471203847</v>
      </c>
      <c r="AC60" s="14">
        <f>_xll.BDP(B60&amp;" EQUITY","eqy_beta")</f>
        <v>0.99613022804260254</v>
      </c>
      <c r="AD60" s="398">
        <f>Tabelad[[#This Row],[D1 P&amp;L bps]]*$AD$5/10000</f>
        <v>-4218.0574279916973</v>
      </c>
      <c r="AE60" s="331"/>
      <c r="AF60" s="477" t="str">
        <f>_xll.BDP(B60&amp;" Equity","EXPECTED_REPORT_DT")</f>
        <v>#N/A N/A</v>
      </c>
      <c r="AG60" s="478">
        <f>_xll.BDP(B60&amp;" Index","CHG_PCT_1D_PRE_FROM_REGULAR")/100</f>
        <v>1.9397329999999999E-3</v>
      </c>
      <c r="AH60" s="472">
        <f t="shared" si="11"/>
        <v>1.072810978101681E-2</v>
      </c>
      <c r="AI60" s="479" t="str">
        <f>_xll.BDP(B60&amp;" Equity","DVD_EX_DT")</f>
        <v>22/12/2025</v>
      </c>
    </row>
    <row r="61" spans="1:35">
      <c r="B61" s="39" t="s">
        <v>2261</v>
      </c>
      <c r="C61" t="s">
        <v>2247</v>
      </c>
      <c r="E61" t="s">
        <v>194</v>
      </c>
      <c r="F61" s="21" t="s">
        <v>100</v>
      </c>
      <c r="G61" s="15"/>
      <c r="H61" s="432">
        <v>-11500</v>
      </c>
      <c r="I61" s="35" cm="1">
        <f t="array" ref="I61">_xll.BDP(B61&amp;" Equity","LAST_PRICE")</f>
        <v>23.87</v>
      </c>
      <c r="J61" s="50">
        <f t="shared" si="4"/>
        <v>1.5744680851063952E-2</v>
      </c>
      <c r="K61" s="424">
        <f>_xll.BDP(B61&amp;" equity","PX_YEST_CLOSE")</f>
        <v>23.5</v>
      </c>
      <c r="L61" s="52">
        <f>_xll.BDP(E61&amp;" Curncy","PX_LAST")</f>
        <v>1</v>
      </c>
      <c r="M61" s="51">
        <v>1</v>
      </c>
      <c r="N61" s="15">
        <f t="shared" si="5"/>
        <v>-274505</v>
      </c>
      <c r="O61" s="351">
        <f>IFERROR(IF(Tabelad[[#This Row],[D1 Exp USD]]&lt;&gt;0,N61/$AE$7,0),"-")</f>
        <v>-1.1456018363376653E-4</v>
      </c>
      <c r="P61" s="19">
        <f>IFERROR(IF(Tabelad[[#This Row],[D1 Exp USD]]&lt;&gt;0,((I61-K61)/L61*M61*H61)/$AD$7*10000,0),"-")</f>
        <v>-1.7757548363843204E-2</v>
      </c>
      <c r="Q61" s="15">
        <f>IF(SUM(SUMIFS(Options!$AL$4:$AL$32, Options!$D$4:$D$32, B61), SUMIFS(Options!$AL$4:$AL$32, Options!$D$4:$D$32, B61 &amp; " US"))=0,0,SUM(SUMIFS(Options!$AL$4:$AL$32, Options!$D$4:$D$32, B61), SUMIFS(Options!$AL$4:$AL$32, Options!$D$4:$D$32, B61 &amp; " US")))</f>
        <v>0</v>
      </c>
      <c r="R61" s="18">
        <f t="shared" si="36"/>
        <v>0</v>
      </c>
      <c r="S61" s="19">
        <f>IF(SUM(SUMIFS(Options!$AK$4:$AK$32, Options!$D$4:$D$32, B61), SUMIFS(Options!$AK$4:$AK$32, Options!$D$4:$D$32, B61 &amp; " US"))=0,0,SUM(SUMIFS(Options!$AK$4:$AK$32, Options!$D$4:$D$32, B61), SUMIFS(Options!AK$4:$AK$32, Options!$D$4:$D$32, B61 &amp; " US")))</f>
        <v>0</v>
      </c>
      <c r="T61" s="13">
        <f t="shared" si="7"/>
        <v>-274505</v>
      </c>
      <c r="U61" s="47">
        <f t="shared" si="8"/>
        <v>-1.1456018363376653E-4</v>
      </c>
      <c r="V61" s="19">
        <f t="shared" si="9"/>
        <v>-1.7757548363843204E-2</v>
      </c>
      <c r="W61" s="15">
        <f t="shared" si="10"/>
        <v>67257.224592375365</v>
      </c>
      <c r="X61" s="18"/>
      <c r="Y61" s="369">
        <f>Tabelad[[#This Row],[Exp %]]*$Y$10*$AD$7/Tabelad[[#This Row],[Price Today]]</f>
        <v>-4025</v>
      </c>
      <c r="Z61" s="260">
        <f>Tabelad[[#This Row],[Vol 10d]]/16*Tabelad[[#This Row],[Exp %]]*100</f>
        <v>-1.8069177557906109E-2</v>
      </c>
      <c r="AA61" s="18">
        <f>Tabelad[[#This Row],[Exp %]]*Tabelad[[#This Row],[Beta Adj2]]</f>
        <v>-4.255689417846193E-5</v>
      </c>
      <c r="AB61" s="35">
        <f>_xll.BDP($B61&amp;" Equity","volatility_10d")</f>
        <v>25.236241053063718</v>
      </c>
      <c r="AC61" s="35">
        <f>_xll.BDP(B61&amp;" EQUITY","eqy_beta")</f>
        <v>0.37148067355155945</v>
      </c>
      <c r="AD61" s="15">
        <f>Tabelad[[#This Row],[D1 P&amp;L bps]]*$AD$5/10000</f>
        <v>-3988.4076346897855</v>
      </c>
      <c r="AE61" s="271"/>
      <c r="AF61" s="226" t="str">
        <f>_xll.BDP(B61&amp;" Equity","EXPECTED_REPORT_DT")</f>
        <v>11/02/2026</v>
      </c>
      <c r="AG61" s="171" t="e">
        <f>_xll.BDP(B61&amp;" Index","CHG_PCT_1D_PRE_FROM_REGULAR")/100</f>
        <v>#VALUE!</v>
      </c>
      <c r="AH61" s="19" t="e">
        <f t="shared" si="11"/>
        <v>#VALUE!</v>
      </c>
      <c r="AI61" s="431" t="str">
        <f>_xll.BDP(B61&amp;" Equity","DVD_EX_DT")</f>
        <v>28/11/2025</v>
      </c>
    </row>
    <row r="62" spans="1:35">
      <c r="B62" s="39" t="s">
        <v>4</v>
      </c>
      <c r="C62" t="s">
        <v>2247</v>
      </c>
      <c r="E62" t="s">
        <v>194</v>
      </c>
      <c r="F62" s="21" t="s">
        <v>100</v>
      </c>
      <c r="G62" s="15"/>
      <c r="H62" s="432">
        <v>-27500</v>
      </c>
      <c r="I62" s="35" cm="1">
        <f t="array" ref="I62">_xll.BDP(B62&amp;" Equity","LAST_PRICE")</f>
        <v>85.87</v>
      </c>
      <c r="J62" s="50">
        <f t="shared" si="4"/>
        <v>1.621301775147943E-2</v>
      </c>
      <c r="K62" s="424">
        <f>_xll.BDP(B62&amp;" equity","PX_YEST_CLOSE")</f>
        <v>84.5</v>
      </c>
      <c r="L62" s="52">
        <f>_xll.BDP(E62&amp;" Curncy","PX_LAST")</f>
        <v>1</v>
      </c>
      <c r="M62" s="51">
        <v>1</v>
      </c>
      <c r="N62" s="15">
        <f t="shared" si="5"/>
        <v>-2361425</v>
      </c>
      <c r="O62" s="351">
        <f>IFERROR(IF(Tabelad[[#This Row],[D1 Exp USD]]&lt;&gt;0,N62/$AE$7,0),"-")</f>
        <v>-9.855022008246376E-4</v>
      </c>
      <c r="P62" s="19">
        <f>IFERROR(IF(Tabelad[[#This Row],[D1 Exp USD]]&lt;&gt;0,((I62-K62)/L62*M62*H62)/$AD$7*10000,0),"-")</f>
        <v>-0.15723046641781274</v>
      </c>
      <c r="Q62" s="15">
        <f>IF(SUM(SUMIFS(Options!$AL$4:$AL$32, Options!$D$4:$D$32, B62), SUMIFS(Options!$AL$4:$AL$32, Options!$D$4:$D$32, B62 &amp; " US"))=0,0,SUM(SUMIFS(Options!$AL$4:$AL$32, Options!$D$4:$D$32, B62), SUMIFS(Options!$AL$4:$AL$32, Options!$D$4:$D$32, B62 &amp; " US")))</f>
        <v>0</v>
      </c>
      <c r="R62" s="18">
        <f t="shared" si="36"/>
        <v>0</v>
      </c>
      <c r="S62" s="19">
        <f>IF(SUM(SUMIFS(Options!$AK$4:$AK$32, Options!$D$4:$D$32, B62), SUMIFS(Options!$AK$4:$AK$32, Options!$D$4:$D$32, B62 &amp; " US"))=0,0,SUM(SUMIFS(Options!$AK$4:$AK$32, Options!$D$4:$D$32, B62), SUMIFS(Options!AK$4:$AK$32, Options!$D$4:$D$32, B62 &amp; " US")))</f>
        <v>0</v>
      </c>
      <c r="T62" s="13">
        <f t="shared" si="7"/>
        <v>-2361425</v>
      </c>
      <c r="U62" s="47">
        <f t="shared" si="8"/>
        <v>-9.855022008246376E-4</v>
      </c>
      <c r="V62" s="19">
        <f t="shared" si="9"/>
        <v>-0.15723046641781274</v>
      </c>
      <c r="W62" s="15">
        <f t="shared" si="10"/>
        <v>18696.051601490624</v>
      </c>
      <c r="X62" s="18"/>
      <c r="Y62" s="369">
        <f>Tabelad[[#This Row],[Exp %]]*$Y$10*$AD$7/Tabelad[[#This Row],[Price Today]]</f>
        <v>-9625</v>
      </c>
      <c r="Z62" s="260">
        <f>Tabelad[[#This Row],[Vol 10d]]/16*Tabelad[[#This Row],[Exp %]]*100</f>
        <v>-9.1219669888347371E-2</v>
      </c>
      <c r="AA62" s="18">
        <f>Tabelad[[#This Row],[Exp %]]*Tabelad[[#This Row],[Beta Adj2]]</f>
        <v>-9.8832151027566798E-4</v>
      </c>
      <c r="AB62" s="35">
        <f>_xll.BDP($B62&amp;" Equity","volatility_10d")</f>
        <v>14.809857522309757</v>
      </c>
      <c r="AC62" s="35">
        <f>_xll.BDP(B62&amp;" EQUITY","eqy_beta")</f>
        <v>1.0028607845306396</v>
      </c>
      <c r="AD62" s="15">
        <f>Tabelad[[#This Row],[D1 P&amp;L bps]]*$AD$5/10000</f>
        <v>-35314.51413324038</v>
      </c>
      <c r="AE62" s="271"/>
      <c r="AF62" s="226" t="str">
        <f>_xll.BDP(B62&amp;" Equity","EXPECTED_REPORT_DT")</f>
        <v>#N/A N/A</v>
      </c>
      <c r="AG62" s="171">
        <f>_xll.BDP(B62&amp;" Index","CHG_PCT_1D_PRE_FROM_REGULAR")/100</f>
        <v>-5.0887610000000007E-3</v>
      </c>
      <c r="AH62" s="19">
        <f t="shared" si="11"/>
        <v>5.014985164970584E-2</v>
      </c>
      <c r="AI62" s="431" t="str">
        <f>_xll.BDP(B62&amp;" Equity","DVD_EX_DT")</f>
        <v>22/12/2025</v>
      </c>
    </row>
    <row r="63" spans="1:35">
      <c r="C63" s="39"/>
      <c r="D63" s="39"/>
      <c r="E63" s="39"/>
      <c r="H63" s="13"/>
      <c r="I63" s="52"/>
      <c r="K63" s="52"/>
      <c r="L63" s="52"/>
      <c r="M63" s="35"/>
      <c r="S63" s="271"/>
      <c r="U63" s="70"/>
      <c r="V63" s="64"/>
      <c r="X63" s="52"/>
      <c r="Y63" s="430"/>
      <c r="Z63" s="18"/>
      <c r="AG63" s="52"/>
      <c r="AI63" s="47"/>
    </row>
    <row r="64" spans="1:35">
      <c r="C64" s="20"/>
      <c r="D64" s="20"/>
      <c r="E64" s="20"/>
      <c r="H64" s="13"/>
      <c r="L64" s="3"/>
      <c r="S64" s="270"/>
    </row>
    <row r="65" spans="3:19">
      <c r="C65" s="20"/>
      <c r="D65" s="20"/>
      <c r="E65" s="20"/>
      <c r="H65" s="13"/>
      <c r="L65" s="3"/>
      <c r="S65" s="270"/>
    </row>
    <row r="66" spans="3:19">
      <c r="C66" s="20"/>
      <c r="D66" s="20"/>
      <c r="E66" s="20"/>
      <c r="H66" s="13"/>
      <c r="L66" s="3"/>
      <c r="S66" s="270"/>
    </row>
    <row r="67" spans="3:19">
      <c r="C67" s="20"/>
      <c r="D67" s="20"/>
      <c r="E67" s="20"/>
      <c r="H67" s="13"/>
      <c r="S67" s="270"/>
    </row>
    <row r="68" spans="3:19">
      <c r="C68" s="20"/>
      <c r="D68" s="20"/>
      <c r="E68" s="20"/>
      <c r="H68" s="13"/>
      <c r="S68" s="270"/>
    </row>
    <row r="69" spans="3:19">
      <c r="C69" s="20"/>
      <c r="D69" s="20"/>
      <c r="E69" s="20"/>
      <c r="H69" s="13"/>
    </row>
    <row r="70" spans="3:19">
      <c r="C70" s="20"/>
      <c r="D70" s="20"/>
      <c r="E70" s="20"/>
    </row>
    <row r="71" spans="3:19">
      <c r="C71" s="20"/>
      <c r="D71" s="20"/>
      <c r="E71" s="20"/>
    </row>
    <row r="72" spans="3:19">
      <c r="C72" s="20"/>
      <c r="D72" s="20"/>
      <c r="E72" s="20"/>
    </row>
    <row r="73" spans="3:19">
      <c r="C73" s="20"/>
      <c r="D73" s="20"/>
      <c r="E73" s="20"/>
    </row>
  </sheetData>
  <phoneticPr fontId="5" type="noConversion"/>
  <conditionalFormatting sqref="D1:D10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62">
    <cfRule type="colorScale" priority="566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62">
    <cfRule type="colorScale" priority="566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6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2:AB62">
    <cfRule type="dataBar" priority="566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{7C06081F-9B2B-44CE-8C8E-D105E03986F9}</x14:id>
        </ext>
      </extLst>
    </cfRule>
  </conditionalFormatting>
  <conditionalFormatting sqref="AA12:AA62">
    <cfRule type="colorScale" priority="566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2:AC62">
    <cfRule type="dataBar" priority="5664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{6967236C-8B2B-4547-83AC-9A1BCEE55E8F}</x14:id>
        </ext>
      </extLst>
    </cfRule>
  </conditionalFormatting>
  <conditionalFormatting sqref="J12:J62">
    <cfRule type="colorScale" priority="566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2:J62">
    <cfRule type="colorScale" priority="566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6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2:AF62">
    <cfRule type="colorScale" priority="56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2:U62">
    <cfRule type="colorScale" priority="566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8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:M1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FImportarArquivoRelatorio2">
                <anchor moveWithCells="1" sizeWithCells="1">
                  <from>
                    <xdr:col>33</xdr:col>
                    <xdr:colOff>581025</xdr:colOff>
                    <xdr:row>3</xdr:row>
                    <xdr:rowOff>9525</xdr:rowOff>
                  </from>
                  <to>
                    <xdr:col>35</xdr:col>
                    <xdr:colOff>85725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ImportarPrecosBTG">
                <anchor moveWithCells="1" sizeWithCells="1">
                  <from>
                    <xdr:col>33</xdr:col>
                    <xdr:colOff>600075</xdr:colOff>
                    <xdr:row>4</xdr:row>
                    <xdr:rowOff>152400</xdr:rowOff>
                  </from>
                  <to>
                    <xdr:col>35</xdr:col>
                    <xdr:colOff>95250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Cola_PL">
                <anchor moveWithCells="1" sizeWithCells="1">
                  <from>
                    <xdr:col>35</xdr:col>
                    <xdr:colOff>571500</xdr:colOff>
                    <xdr:row>2</xdr:row>
                    <xdr:rowOff>190500</xdr:rowOff>
                  </from>
                  <to>
                    <xdr:col>37</xdr:col>
                    <xdr:colOff>590550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C06081F-9B2B-44CE-8C8E-D105E03986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AB12:AB62</xm:sqref>
        </x14:conditionalFormatting>
        <x14:conditionalFormatting xmlns:xm="http://schemas.microsoft.com/office/excel/2006/main">
          <x14:cfRule type="dataBar" id="{6967236C-8B2B-4547-83AC-9A1BCEE55E8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AC12:AC62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8720F-9028-4D6D-9843-ED7DFFC9E1CA}">
  <sheetPr codeName="Sheet2"/>
  <dimension ref="A1:BD53"/>
  <sheetViews>
    <sheetView zoomScale="80" zoomScaleNormal="80" workbookViewId="0">
      <pane xSplit="8" ySplit="3" topLeftCell="I4" activePane="bottomRight" state="frozen"/>
      <selection pane="topRight" activeCell="I1" sqref="I1"/>
      <selection pane="bottomLeft" activeCell="A4" sqref="A4"/>
      <selection pane="bottomRight" activeCell="G31" sqref="G31"/>
    </sheetView>
  </sheetViews>
  <sheetFormatPr defaultRowHeight="15" outlineLevelCol="1"/>
  <cols>
    <col min="1" max="1" width="4.42578125" style="1" customWidth="1"/>
    <col min="2" max="2" width="23.28515625" customWidth="1"/>
    <col min="3" max="3" width="6.28515625" customWidth="1" outlineLevel="1"/>
    <col min="4" max="4" width="9" customWidth="1" outlineLevel="1"/>
    <col min="5" max="5" width="11.42578125" style="326" customWidth="1" outlineLevel="1"/>
    <col min="6" max="6" width="4.5703125" customWidth="1" outlineLevel="1"/>
    <col min="7" max="7" width="6.140625" customWidth="1" outlineLevel="1"/>
    <col min="8" max="8" width="7.140625" style="35" customWidth="1"/>
    <col min="9" max="9" width="8.42578125" customWidth="1" outlineLevel="1"/>
    <col min="10" max="10" width="9.7109375" customWidth="1" outlineLevel="1"/>
    <col min="11" max="13" width="8.28515625" customWidth="1" outlineLevel="1"/>
    <col min="14" max="14" width="3" style="128" customWidth="1" outlineLevel="1"/>
    <col min="15" max="15" width="9.85546875" customWidth="1" outlineLevel="1"/>
    <col min="16" max="17" width="8.7109375" customWidth="1" outlineLevel="1"/>
    <col min="18" max="18" width="9.140625" customWidth="1" outlineLevel="1"/>
    <col min="19" max="19" width="7.140625" customWidth="1" outlineLevel="1"/>
    <col min="20" max="20" width="7.42578125" customWidth="1" outlineLevel="1"/>
    <col min="21" max="21" width="10.85546875" style="64" customWidth="1" outlineLevel="1"/>
    <col min="22" max="23" width="8.140625" style="49" customWidth="1"/>
    <col min="24" max="24" width="7.5703125" customWidth="1" outlineLevel="1"/>
    <col min="25" max="25" width="8.140625" style="268" customWidth="1" outlineLevel="1"/>
    <col min="26" max="26" width="9.85546875" style="2" customWidth="1"/>
    <col min="27" max="27" width="10.42578125" style="2" customWidth="1"/>
    <col min="28" max="29" width="8.7109375" customWidth="1"/>
    <col min="30" max="31" width="8" customWidth="1"/>
    <col min="32" max="32" width="6.7109375" customWidth="1"/>
    <col min="33" max="33" width="8.85546875" style="70" customWidth="1"/>
    <col min="34" max="34" width="8.28515625" customWidth="1"/>
    <col min="35" max="36" width="6.85546875" style="13" customWidth="1"/>
    <col min="37" max="37" width="8.28515625" style="13" customWidth="1" outlineLevel="1"/>
    <col min="38" max="39" width="13" customWidth="1" outlineLevel="1"/>
    <col min="40" max="40" width="6.5703125" style="49" customWidth="1" outlineLevel="1"/>
    <col min="41" max="41" width="7.85546875" customWidth="1" outlineLevel="1"/>
    <col min="42" max="42" width="9.85546875" customWidth="1" outlineLevel="1"/>
    <col min="43" max="43" width="11.7109375" customWidth="1" outlineLevel="1"/>
    <col min="44" max="44" width="8.7109375" style="65" customWidth="1" outlineLevel="1"/>
    <col min="45" max="45" width="13.7109375" customWidth="1" outlineLevel="1"/>
    <col min="46" max="46" width="15" customWidth="1" outlineLevel="1"/>
    <col min="47" max="47" width="9.140625" customWidth="1" outlineLevel="1"/>
    <col min="48" max="48" width="8.28515625" style="270" customWidth="1" outlineLevel="1"/>
    <col min="49" max="49" width="9.140625" customWidth="1" outlineLevel="1"/>
    <col min="50" max="51" width="9.85546875" customWidth="1" outlineLevel="1"/>
    <col min="52" max="52" width="9.140625" customWidth="1" outlineLevel="1"/>
  </cols>
  <sheetData>
    <row r="1" spans="1:56">
      <c r="B1" s="270">
        <f>'Master P&amp;L'!V10</f>
        <v>0.47417134459644517</v>
      </c>
      <c r="C1" s="94"/>
      <c r="D1" s="94"/>
      <c r="E1" s="327"/>
      <c r="F1" s="94"/>
      <c r="G1" s="94"/>
      <c r="H1" s="330">
        <f>548-256</f>
        <v>292</v>
      </c>
      <c r="I1" s="199"/>
      <c r="J1" s="192" t="s">
        <v>1696</v>
      </c>
      <c r="K1" s="73" t="str">
        <f>_xll.BDP(B1&amp;" index","PX_YEST_CLOSE")</f>
        <v>#N/A Requesting Data...</v>
      </c>
      <c r="L1" s="73" t="str">
        <f>_xll.BDP($B1&amp;" Index","mid")</f>
        <v>#N/A Requesting Data...</v>
      </c>
      <c r="O1" s="199" t="e">
        <f>#REF!-#REF!-#REF!</f>
        <v>#REF!</v>
      </c>
      <c r="P1" s="199"/>
      <c r="Q1" s="199"/>
      <c r="R1" s="199" t="e">
        <f>#REF!-#REF!-#REF!</f>
        <v>#REF!</v>
      </c>
      <c r="S1" s="94"/>
      <c r="T1" s="94"/>
      <c r="U1" s="94"/>
      <c r="V1" s="49">
        <f>SUM(V4:V32)</f>
        <v>21.651772460028667</v>
      </c>
      <c r="W1" s="49">
        <f>SUM(W4:W32)</f>
        <v>18.486129513868946</v>
      </c>
      <c r="X1" s="49">
        <f>SUM(X4:X32)</f>
        <v>704.98</v>
      </c>
      <c r="Y1" s="263"/>
      <c r="AG1" s="42"/>
      <c r="AI1" s="409">
        <f>SUM(AI4:AI32)*252</f>
        <v>-14.097599560832936</v>
      </c>
      <c r="AJ1" s="409"/>
      <c r="AK1" s="357" t="s">
        <v>1902</v>
      </c>
      <c r="AL1" s="14"/>
      <c r="AM1" s="94"/>
      <c r="AN1" s="115"/>
      <c r="AO1" s="13"/>
      <c r="AP1" s="94"/>
      <c r="AQ1" s="94"/>
      <c r="AR1" s="94"/>
      <c r="AS1" s="94"/>
      <c r="AT1" s="94"/>
      <c r="AU1" s="94"/>
      <c r="AV1" s="319"/>
      <c r="AX1" s="13"/>
      <c r="AY1" s="13"/>
    </row>
    <row r="2" spans="1:56">
      <c r="I2" s="63" t="e">
        <f>#REF!-#REF!</f>
        <v>#REF!</v>
      </c>
      <c r="J2" s="63"/>
      <c r="K2" s="73" t="str" cm="1">
        <f t="array" ref="K2">_xll.BDP(B2&amp;" Equity","PX_YEST_CLOSE")</f>
        <v>#N/A Invalid Security</v>
      </c>
      <c r="L2" s="73" t="str" cm="1">
        <f t="array" ref="L2">_xll.BDP($B2&amp;" Equity","mid")</f>
        <v>#N/A Invalid Security</v>
      </c>
      <c r="P2" s="35" t="str" cm="1">
        <f t="array" ref="P2">_xll.BDP($B2&amp;" Equity","bid")</f>
        <v>#N/A Invalid Security</v>
      </c>
      <c r="Q2" s="35" t="str" cm="1">
        <f t="array" ref="Q2">_xll.BDP($B2&amp;" Equity","ask")</f>
        <v>#N/A Invalid Security</v>
      </c>
      <c r="R2" s="63" t="e">
        <f>#REF!-#REF!-0.5*#REF!</f>
        <v>#REF!</v>
      </c>
      <c r="S2" s="128" t="e">
        <f>R2/Q2-1</f>
        <v>#REF!</v>
      </c>
      <c r="U2" s="13" t="e">
        <f>SUM(#REF!)</f>
        <v>#REF!</v>
      </c>
      <c r="V2" s="118" t="s">
        <v>197</v>
      </c>
      <c r="W2" s="118" t="s">
        <v>197</v>
      </c>
      <c r="X2" s="35"/>
      <c r="Y2" s="264"/>
      <c r="AG2" s="109" t="s">
        <v>197</v>
      </c>
      <c r="AH2" s="109" t="s">
        <v>197</v>
      </c>
      <c r="AI2" s="109" t="s">
        <v>197</v>
      </c>
      <c r="AJ2" s="109"/>
      <c r="AK2" s="109" t="s">
        <v>197</v>
      </c>
      <c r="AL2" s="13"/>
      <c r="AR2" s="113"/>
      <c r="AS2" s="58"/>
    </row>
    <row r="3" spans="1:56" s="10" customFormat="1" ht="60">
      <c r="A3" s="159"/>
      <c r="B3" s="10" t="s">
        <v>198</v>
      </c>
      <c r="C3" s="10" t="s">
        <v>199</v>
      </c>
      <c r="D3" s="10" t="s">
        <v>200</v>
      </c>
      <c r="E3" s="328" t="s">
        <v>201</v>
      </c>
      <c r="F3" s="10" t="s">
        <v>202</v>
      </c>
      <c r="G3" s="10" t="s">
        <v>203</v>
      </c>
      <c r="H3" s="10" t="s">
        <v>204</v>
      </c>
      <c r="I3" s="59" t="s">
        <v>116</v>
      </c>
      <c r="J3" s="66" t="s">
        <v>205</v>
      </c>
      <c r="K3" s="66" t="s">
        <v>206</v>
      </c>
      <c r="L3" s="82" t="s">
        <v>207</v>
      </c>
      <c r="M3" s="66" t="s">
        <v>208</v>
      </c>
      <c r="N3" s="345"/>
      <c r="O3" s="10" t="s">
        <v>103</v>
      </c>
      <c r="P3" s="66" t="s">
        <v>209</v>
      </c>
      <c r="Q3" s="66" t="s">
        <v>210</v>
      </c>
      <c r="R3" s="66" t="s">
        <v>211</v>
      </c>
      <c r="S3" s="59" t="s">
        <v>180</v>
      </c>
      <c r="T3" s="10" t="s">
        <v>181</v>
      </c>
      <c r="U3" s="59" t="s">
        <v>212</v>
      </c>
      <c r="V3" s="119" t="s">
        <v>213</v>
      </c>
      <c r="W3" s="119" t="s">
        <v>214</v>
      </c>
      <c r="X3" s="67" t="s">
        <v>215</v>
      </c>
      <c r="Y3" s="265" t="s">
        <v>216</v>
      </c>
      <c r="Z3" s="120" t="s">
        <v>217</v>
      </c>
      <c r="AA3" s="120" t="s">
        <v>218</v>
      </c>
      <c r="AB3" s="68" t="s">
        <v>219</v>
      </c>
      <c r="AC3" s="68" t="s">
        <v>1781</v>
      </c>
      <c r="AD3" s="10" t="s">
        <v>1780</v>
      </c>
      <c r="AE3" s="10" t="s">
        <v>1782</v>
      </c>
      <c r="AF3" s="10" t="s">
        <v>220</v>
      </c>
      <c r="AG3" s="93" t="s">
        <v>221</v>
      </c>
      <c r="AH3" s="10" t="s">
        <v>229</v>
      </c>
      <c r="AI3" s="67" t="s">
        <v>225</v>
      </c>
      <c r="AJ3" s="67" t="s">
        <v>2121</v>
      </c>
      <c r="AK3" s="67" t="s">
        <v>160</v>
      </c>
      <c r="AL3" s="59" t="s">
        <v>222</v>
      </c>
      <c r="AM3" s="71" t="s">
        <v>228</v>
      </c>
      <c r="AN3" s="116" t="s">
        <v>223</v>
      </c>
      <c r="AO3" s="10" t="s">
        <v>224</v>
      </c>
      <c r="AP3" s="69" t="s">
        <v>226</v>
      </c>
      <c r="AQ3" s="10" t="s">
        <v>227</v>
      </c>
      <c r="AR3" s="114" t="s">
        <v>230</v>
      </c>
      <c r="AS3" s="110">
        <v>0.01</v>
      </c>
      <c r="AT3" s="110">
        <v>0.05</v>
      </c>
      <c r="AU3" s="111">
        <v>0.01</v>
      </c>
      <c r="AV3" s="320" t="s">
        <v>125</v>
      </c>
      <c r="AW3" s="10" t="s">
        <v>231</v>
      </c>
      <c r="AX3" s="10" t="s">
        <v>232</v>
      </c>
      <c r="AY3" s="10" t="s">
        <v>233</v>
      </c>
      <c r="AZ3" s="10" t="s">
        <v>1672</v>
      </c>
      <c r="BA3" s="10" t="s">
        <v>1843</v>
      </c>
      <c r="BB3" s="10" t="s">
        <v>1846</v>
      </c>
      <c r="BC3" s="10" t="s">
        <v>1847</v>
      </c>
      <c r="BD3" s="10" t="s">
        <v>1848</v>
      </c>
    </row>
    <row r="4" spans="1:56">
      <c r="A4" s="329"/>
      <c r="B4" s="72" t="s">
        <v>2224</v>
      </c>
      <c r="C4" s="72" t="str" cm="1">
        <f t="array" ref="C4">_xll.BDP($B4&amp;" Equity","opt_put_call")</f>
        <v>Call</v>
      </c>
      <c r="D4" s="72" t="str" cm="1">
        <f t="array" ref="D4">_xll.BDP(B4&amp;" Equity","OPT_UNDL_TICKER")</f>
        <v>ASHR US</v>
      </c>
      <c r="E4" s="72" t="str" cm="1">
        <f t="array" ref="E4">_xll.BDP($B4&amp;" Equity","mifid_Maturity_date")</f>
        <v>20/02/2026</v>
      </c>
      <c r="F4" s="72" cm="1">
        <f t="array" ref="F4">_xll.BDP($B4&amp;" Equity","opt_days_expire")</f>
        <v>17</v>
      </c>
      <c r="G4" s="72" t="str" cm="1">
        <f t="array" ref="G4">_xll.BDP(B4&amp;" Equity","QUOTED_CURRENCY_REALTIME")</f>
        <v>USD</v>
      </c>
      <c r="H4" s="41">
        <v>1000</v>
      </c>
      <c r="I4" s="403">
        <v>0.48</v>
      </c>
      <c r="J4" s="14">
        <f>VLOOKUP(B4,Precificação!$B:$O,14,FALSE)</f>
        <v>9.565601186566218E-2</v>
      </c>
      <c r="K4" s="14">
        <f>+J4</f>
        <v>9.565601186566218E-2</v>
      </c>
      <c r="L4" s="73" cm="1">
        <f t="array" ref="L4">_xll.BDP($B4&amp;" Equity","mid")</f>
        <v>0.15</v>
      </c>
      <c r="M4" s="74">
        <f t="shared" ref="M4:M32" si="0">L4/Z4</f>
        <v>4.5126353790613718E-3</v>
      </c>
      <c r="N4" s="346"/>
      <c r="O4" s="74">
        <f t="shared" ref="O4:O32" si="1">L4/K4-1</f>
        <v>0.56811889890054856</v>
      </c>
      <c r="P4" s="73" cm="1">
        <f t="array" ref="P4">_xll.BDP($B4&amp;" Equity","bid")</f>
        <v>0.05</v>
      </c>
      <c r="Q4" s="73" cm="1">
        <f t="array" ref="Q4">_xll.BDP($B4&amp;" Equity","ask")</f>
        <v>0.25</v>
      </c>
      <c r="R4" s="75">
        <f t="shared" ref="R4:R32" si="2">(Q4/P4-1)</f>
        <v>4</v>
      </c>
      <c r="S4" s="35" cm="1">
        <f t="array" ref="S4">_xll.BDP(G4&amp;" Curncy","PX_LAST")</f>
        <v>1</v>
      </c>
      <c r="T4" s="41" cm="1">
        <f t="array" ref="T4">_xll.BDP(B4&amp;" Equity","OPT_MULTIPLIER")</f>
        <v>100</v>
      </c>
      <c r="U4" s="41">
        <f t="shared" ref="U4:U32" si="3">(L4/S4)*H4*T4</f>
        <v>15000</v>
      </c>
      <c r="V4" s="112">
        <f>U4/'Master P&amp;L'!$AD$7*10000</f>
        <v>6.2600052986521118E-2</v>
      </c>
      <c r="W4" s="112">
        <f>(Y4*H4*T4/S4)/'Master P&amp;L'!$AD$7*10000</f>
        <v>6.2600052986521118E-2</v>
      </c>
      <c r="X4" s="117">
        <f t="shared" ref="X4:X32" si="4">IF(C4="Put",IF(Z4&lt;AA4,AA4-Z4,0),IF(Z4&gt;AA4,Z4-AA4,0))</f>
        <v>0</v>
      </c>
      <c r="Y4" s="266">
        <f t="shared" ref="Y4:Y32" si="5">L4-X4</f>
        <v>0.15</v>
      </c>
      <c r="Z4" s="76">
        <f>_xll.BDP(D4&amp;" Equity","LAST_PRICE")</f>
        <v>33.24</v>
      </c>
      <c r="AA4" s="76" cm="1">
        <f t="array" ref="AA4">_xll.BDP(B4&amp;" Equity","OPT_STRIKE_PX")</f>
        <v>35</v>
      </c>
      <c r="AB4" s="75">
        <f t="shared" ref="AB4:AB32" si="6">AA4/Z4-1</f>
        <v>5.2948255114320109E-2</v>
      </c>
      <c r="AC4" s="317" cm="1">
        <f t="array" ref="AC4">_xll.BDP($D4&amp;" Equity","volatility_10d")</f>
        <v>12.424845500332459</v>
      </c>
      <c r="AD4" s="76" cm="1">
        <f t="array" ref="AD4">_xll.BDP(B4&amp;" Equity","ivol_mid")</f>
        <v>20.21951</v>
      </c>
      <c r="AE4" s="76">
        <f t="shared" ref="AE4:AE32" si="7">AD4/AC4</f>
        <v>1.6273449838437808</v>
      </c>
      <c r="AF4" s="77" cm="1">
        <f t="array" ref="AF4">_xll.BDP(B4&amp;" Equity","DELTA_MID_RT")</f>
        <v>0.17086073756217957</v>
      </c>
      <c r="AG4" s="74">
        <f>AL4/'Master P&amp;L'!$AE$7</f>
        <v>2.370209495395408E-4</v>
      </c>
      <c r="AH4" s="74">
        <f>AM4/'Master P&amp;L'!$AE$7</f>
        <v>1.3872171741813079E-3</v>
      </c>
      <c r="AI4" s="421">
        <f>AO4/'Master P&amp;L'!$AD$7*10000</f>
        <v>-5.1237466130712077E-3</v>
      </c>
      <c r="AJ4" s="344">
        <f t="shared" ref="AJ4:AJ27" si="8">(252*AI4)/$AI$1</f>
        <v>9.1588936181817376E-2</v>
      </c>
      <c r="AK4" s="77">
        <f>AP4/'Master P&amp;L'!$AD$7*10000</f>
        <v>2.2679576911389481E-2</v>
      </c>
      <c r="AL4" s="41">
        <f t="shared" ref="AL4:AL32" si="9">Z4*AF4*H4*T4/S4</f>
        <v>567941.09165668488</v>
      </c>
      <c r="AM4" s="41">
        <f t="shared" ref="AM4:AM32" si="10">IF(C4="Put",-Z4*H4*T4/S4,Z4*H4*T4/S4)</f>
        <v>3324000</v>
      </c>
      <c r="AN4" s="77" cm="1">
        <f t="array" ref="AN4">_xll.BDP($B4&amp;" Equity","theta_mid_rt")</f>
        <v>-1.2277337722480297E-2</v>
      </c>
      <c r="AO4" s="41">
        <f t="shared" ref="AO4:AO32" si="11">AN4*H4*T4/S4</f>
        <v>-1227.7337722480297</v>
      </c>
      <c r="AP4" s="41">
        <f t="shared" ref="AP4:AP32" si="12">(L4-K4)*T4/S4*H4</f>
        <v>5434.3988134337815</v>
      </c>
      <c r="AQ4" s="73" t="str" cm="1">
        <f t="array" ref="AQ4">_xll.BDP($D4&amp;" Equity","EXPECTED_REPORT_DT")</f>
        <v>#N/A N/A</v>
      </c>
      <c r="AR4" s="230" cm="1">
        <f t="array" ref="AR4">_xll.BDP($B4&amp;" Equity","GAMMA_LAST")</f>
        <v>5.0516999999999999E-2</v>
      </c>
      <c r="AS4" s="72">
        <f t="shared" ref="AS4:AS32" si="13">$Z4*($AR4*$Z4*$AS$3)*$H4*$T4/$S4</f>
        <v>55816.112059200008</v>
      </c>
      <c r="AT4" s="72">
        <f t="shared" ref="AT4:AT32" si="14">$Z4*($AR4*$Z4*$AT$3)*$H4*$T4/$S4</f>
        <v>279080.56029600004</v>
      </c>
      <c r="AU4" s="72" t="s">
        <v>151</v>
      </c>
      <c r="AV4" s="316" t="e" cm="1">
        <f t="array" ref="AV4">_xll.BDP($D4&amp;" Equity","EST_PE_NXT_YR")*(AA4/Z4)</f>
        <v>#VALUE!</v>
      </c>
      <c r="AW4" s="72"/>
      <c r="AX4" s="41"/>
      <c r="AY4" s="316">
        <v>0.15</v>
      </c>
      <c r="AZ4" s="348"/>
      <c r="BA4" s="41">
        <f t="shared" ref="BA4:BA32" si="15">+AY4</f>
        <v>0.15</v>
      </c>
      <c r="BB4" s="340">
        <f t="shared" ref="BB4:BB32" si="16">+J4</f>
        <v>9.565601186566218E-2</v>
      </c>
      <c r="BC4" s="340">
        <f t="shared" ref="BC4:BC32" si="17">(BB4-BA4)*H4*100</f>
        <v>-5434.3988134337815</v>
      </c>
      <c r="BD4" s="340">
        <f>BC4/'Master P&amp;L'!$AD$7*10000</f>
        <v>-2.2679576911389481E-2</v>
      </c>
    </row>
    <row r="5" spans="1:56" s="58" customFormat="1">
      <c r="A5" s="350"/>
      <c r="B5" t="s">
        <v>2102</v>
      </c>
      <c r="C5" t="str" cm="1">
        <f t="array" ref="C5">_xll.BDP($B5&amp;" Equity","opt_put_call")</f>
        <v>Call</v>
      </c>
      <c r="D5" t="str" cm="1">
        <f t="array" ref="D5">_xll.BDP(B5&amp;" Equity","OPT_UNDL_TICKER")</f>
        <v>AVGO US</v>
      </c>
      <c r="E5" t="str" cm="1">
        <f t="array" ref="E5">_xll.BDP($B5&amp;" Equity","mifid_Maturity_date")</f>
        <v>18/06/2026</v>
      </c>
      <c r="F5" cm="1">
        <f t="array" ref="F5">_xll.BDP($B5&amp;" Equity","opt_days_expire")</f>
        <v>135</v>
      </c>
      <c r="G5" t="str" cm="1">
        <f t="array" ref="G5">_xll.BDP(B5&amp;" Equity","QUOTED_CURRENCY_REALTIME")</f>
        <v>USD</v>
      </c>
      <c r="H5" s="15">
        <v>120</v>
      </c>
      <c r="I5" s="404">
        <v>37.5</v>
      </c>
      <c r="J5" s="14">
        <f>VLOOKUP(B5,Precificação!$B:$O,14,FALSE)</f>
        <v>34.075000000000003</v>
      </c>
      <c r="K5" s="14">
        <f t="shared" ref="K5:K26" si="18">+J5</f>
        <v>34.075000000000003</v>
      </c>
      <c r="L5" s="73" cm="1">
        <f t="array" ref="L5">_xll.BDP($B5&amp;" Equity","mid")</f>
        <v>30.18</v>
      </c>
      <c r="M5" s="18">
        <f t="shared" si="0"/>
        <v>9.4215340430181385E-2</v>
      </c>
      <c r="N5" s="344"/>
      <c r="O5" s="18">
        <f t="shared" si="1"/>
        <v>-0.1143066764490096</v>
      </c>
      <c r="P5" s="35" cm="1">
        <f t="array" ref="P5">_xll.BDP($B5&amp;" Equity","bid")</f>
        <v>29.75</v>
      </c>
      <c r="Q5" s="35" cm="1">
        <f t="array" ref="Q5">_xll.BDP($B5&amp;" Equity","ask")</f>
        <v>30.6</v>
      </c>
      <c r="R5" s="39">
        <f t="shared" si="2"/>
        <v>2.8571428571428692E-2</v>
      </c>
      <c r="S5" s="35" cm="1">
        <f t="array" ref="S5">_xll.BDP(G5&amp;" Curncy","PX_LAST")</f>
        <v>1</v>
      </c>
      <c r="T5" s="15" cm="1">
        <f t="array" ref="T5">_xll.BDP(B5&amp;" Equity","OPT_MULTIPLIER")</f>
        <v>100</v>
      </c>
      <c r="U5" s="15">
        <f t="shared" si="3"/>
        <v>362160</v>
      </c>
      <c r="V5" s="123">
        <f>U5/'Master P&amp;L'!$AD$7*10000</f>
        <v>1.5114156793065658</v>
      </c>
      <c r="W5" s="123">
        <f>(Y5*H5*T5/S5)/'Master P&amp;L'!$AD$7*10000</f>
        <v>1.5114156793065658</v>
      </c>
      <c r="X5" s="407">
        <f t="shared" si="4"/>
        <v>0</v>
      </c>
      <c r="Y5" s="267">
        <f t="shared" si="5"/>
        <v>30.18</v>
      </c>
      <c r="Z5" s="36">
        <f>_xll.BDP(D5&amp;" Equity","LAST_PRICE")</f>
        <v>320.33</v>
      </c>
      <c r="AA5" s="36" cm="1">
        <f t="array" ref="AA5">_xll.BDP(B5&amp;" Equity","OPT_STRIKE_PX")</f>
        <v>350</v>
      </c>
      <c r="AB5" s="39">
        <f t="shared" si="6"/>
        <v>9.2623232291699331E-2</v>
      </c>
      <c r="AC5" s="318" cm="1">
        <f t="array" ref="AC5">_xll.BDP($D5&amp;" Equity","volatility_10d")</f>
        <v>28.683503426129363</v>
      </c>
      <c r="AD5" s="36" cm="1">
        <f t="array" ref="AD5">_xll.BDP(B5&amp;" Equity","ivol_mid")</f>
        <v>51.22513</v>
      </c>
      <c r="AE5" s="36">
        <f t="shared" si="7"/>
        <v>1.7858742441251525</v>
      </c>
      <c r="AF5" s="37" cm="1">
        <f t="array" ref="AF5">_xll.BDP(B5&amp;" Equity","DELTA_MID_RT")</f>
        <v>0.46645155549049377</v>
      </c>
      <c r="AG5" s="18">
        <f>AL5/'Master P&amp;L'!$AE$7</f>
        <v>7.4828811463852139E-4</v>
      </c>
      <c r="AH5" s="18">
        <f>AM5/'Master P&amp;L'!$AE$7</f>
        <v>1.6042139978537848E-3</v>
      </c>
      <c r="AI5" s="420">
        <f>AO5/'Master P&amp;L'!$AD$7*10000</f>
        <v>-7.239237070228742E-3</v>
      </c>
      <c r="AJ5" s="344">
        <f t="shared" si="8"/>
        <v>0.12940413960728628</v>
      </c>
      <c r="AK5" s="37">
        <f>AP5/'Master P&amp;L'!$AD$7*10000</f>
        <v>-0.19506176510599998</v>
      </c>
      <c r="AL5" s="15">
        <f t="shared" si="9"/>
        <v>1793021.1212432382</v>
      </c>
      <c r="AM5" s="15">
        <f t="shared" si="10"/>
        <v>3843960</v>
      </c>
      <c r="AN5" s="37" cm="1">
        <f t="array" ref="AN5">_xll.BDP($B5&amp;" Equity","theta_mid_rt")</f>
        <v>-0.14455333352088928</v>
      </c>
      <c r="AO5" s="15">
        <f t="shared" si="11"/>
        <v>-1734.6400022506714</v>
      </c>
      <c r="AP5" s="15">
        <f t="shared" si="12"/>
        <v>-46740.000000000044</v>
      </c>
      <c r="AQ5" s="35" t="str" cm="1">
        <f t="array" ref="AQ5">_xll.BDP($D5&amp;" Equity","EXPECTED_REPORT_DT")</f>
        <v>04/03/2026</v>
      </c>
      <c r="AR5" s="65" cm="1">
        <f t="array" ref="AR5">_xll.BDP($B5&amp;" Equity","GAMMA_LAST")</f>
        <v>1.2636E-2</v>
      </c>
      <c r="AS5">
        <f t="shared" si="13"/>
        <v>155591.579911248</v>
      </c>
      <c r="AT5">
        <f t="shared" si="14"/>
        <v>777957.89955624007</v>
      </c>
      <c r="AU5" t="s">
        <v>151</v>
      </c>
      <c r="AV5" s="271" cm="1">
        <f t="array" ref="AV5">_xll.BDP($D5&amp;" Equity","EST_PE_NXT_YR")*(AA5/Z5)</f>
        <v>24.497193021908551</v>
      </c>
      <c r="AW5"/>
      <c r="AX5" s="15"/>
      <c r="AY5" s="271">
        <v>30.18</v>
      </c>
      <c r="AZ5" s="349"/>
      <c r="BA5" s="15">
        <f t="shared" si="15"/>
        <v>30.18</v>
      </c>
      <c r="BB5" s="408">
        <f t="shared" si="16"/>
        <v>34.075000000000003</v>
      </c>
      <c r="BC5" s="408">
        <f t="shared" si="17"/>
        <v>46740.000000000036</v>
      </c>
      <c r="BD5" s="408">
        <f>BC5/'Master P&amp;L'!$AD$7*10000</f>
        <v>0.19506176510599996</v>
      </c>
    </row>
    <row r="6" spans="1:56" s="378" customFormat="1">
      <c r="A6" s="544" t="s">
        <v>1770</v>
      </c>
      <c r="B6" s="58" t="s">
        <v>2499</v>
      </c>
      <c r="C6" s="378" t="str" cm="1">
        <f t="array" ref="C6">_xll.BDP($B6&amp;" Equity","opt_put_call")</f>
        <v>Put</v>
      </c>
      <c r="D6" s="378" t="str" cm="1">
        <f t="array" ref="D6">_xll.BDP(B6&amp;" Equity","OPT_UNDL_TICKER")</f>
        <v>QQQ US</v>
      </c>
      <c r="E6" s="378" t="str" cm="1">
        <f t="array" ref="E6">_xll.BDP($B6&amp;" Equity","mifid_Maturity_date")</f>
        <v>03/02/2026</v>
      </c>
      <c r="F6" s="378" cm="1">
        <f t="array" ref="F6">_xll.BDP($B6&amp;" Equity","opt_days_expire")</f>
        <v>0</v>
      </c>
      <c r="G6" s="378" t="str" cm="1">
        <f t="array" ref="G6">_xll.BDP(B6&amp;" Equity","QUOTED_CURRENCY_REALTIME")</f>
        <v>USD</v>
      </c>
      <c r="H6" s="512">
        <v>1000</v>
      </c>
      <c r="I6" s="540"/>
      <c r="J6" s="122"/>
      <c r="K6" s="122">
        <v>0.12</v>
      </c>
      <c r="L6" s="122">
        <v>0</v>
      </c>
      <c r="M6" s="406">
        <f t="shared" ref="M6:M7" si="19">L6/Z6</f>
        <v>0</v>
      </c>
      <c r="N6" s="521"/>
      <c r="O6" s="406">
        <f t="shared" ref="O6:O7" si="20">L6/K6-1</f>
        <v>-1</v>
      </c>
      <c r="P6" s="122" cm="1">
        <f t="array" ref="P6">_xll.BDP($B6&amp;" Equity","bid")</f>
        <v>0.01</v>
      </c>
      <c r="Q6" s="122" cm="1">
        <f t="array" ref="Q6">_xll.BDP($B6&amp;" Equity","ask")</f>
        <v>0.02</v>
      </c>
      <c r="R6" s="523">
        <f t="shared" ref="R6:R7" si="21">(Q6/P6-1)</f>
        <v>1</v>
      </c>
      <c r="S6" s="122" cm="1">
        <f t="array" ref="S6">_xll.BDP(G6&amp;" Curncy","PX_LAST")</f>
        <v>1</v>
      </c>
      <c r="T6" s="512" cm="1">
        <f t="array" ref="T6">_xll.BDP(B6&amp;" Equity","OPT_MULTIPLIER")</f>
        <v>100</v>
      </c>
      <c r="U6" s="512">
        <f t="shared" ref="U6:U7" si="22">(L6/S6)*H6*T6</f>
        <v>0</v>
      </c>
      <c r="V6" s="543">
        <f>U6/'Master P&amp;L'!$AD$7*10000</f>
        <v>0</v>
      </c>
      <c r="W6" s="543">
        <f>(Y6*H6*T6/S6)/'Master P&amp;L'!$AD$7*10000</f>
        <v>0</v>
      </c>
      <c r="X6" s="534">
        <f t="shared" ref="X6:X7" si="23">IF(C6="Put",IF(Z6&lt;AA6,AA6-Z6,0),IF(Z6&gt;AA6,Z6-AA6,0))</f>
        <v>0</v>
      </c>
      <c r="Y6" s="542">
        <f t="shared" ref="Y6:Y7" si="24">L6-X6</f>
        <v>0</v>
      </c>
      <c r="Z6" s="533">
        <f>_xll.BDP(D6&amp;" Equity","LAST_PRICE")</f>
        <v>616.52</v>
      </c>
      <c r="AA6" s="533" cm="1">
        <f t="array" ref="AA6">_xll.BDP(B6&amp;" Equity","OPT_STRIKE_PX")</f>
        <v>613</v>
      </c>
      <c r="AB6" s="523">
        <f t="shared" ref="AB6:AB7" si="25">AA6/Z6-1</f>
        <v>-5.7094660351650894E-3</v>
      </c>
      <c r="AC6" s="541" cm="1">
        <f t="array" ref="AC6">_xll.BDP($D6&amp;" Equity","volatility_10d")</f>
        <v>14.80309399910594</v>
      </c>
      <c r="AD6" s="533" cm="1">
        <f t="array" ref="AD6">_xll.BDP(B6&amp;" Equity","ivol_mid")</f>
        <v>39.270769999999999</v>
      </c>
      <c r="AE6" s="533">
        <f t="shared" ref="AE6:AE7" si="26">AD6/AC6</f>
        <v>2.6528758111224469</v>
      </c>
      <c r="AF6" s="539" cm="1">
        <f t="array" ref="AF6">_xll.BDP(B6&amp;" Equity","DELTA_MID_RT")</f>
        <v>-1.1649949476122856E-2</v>
      </c>
      <c r="AG6" s="406">
        <f>AL6/'Master P&amp;L'!$AE$7</f>
        <v>-2.9974686763041195E-4</v>
      </c>
      <c r="AH6" s="406">
        <f>AM6/'Master P&amp;L'!$AE$7</f>
        <v>-2.5729456444833331E-2</v>
      </c>
      <c r="AI6" s="532">
        <f>AO6/'Master P&amp;L'!$AD$7*10000</f>
        <v>0</v>
      </c>
      <c r="AJ6" s="521">
        <f t="shared" ref="AJ6:AJ7" si="27">(252*AI6)/$AI$1</f>
        <v>0</v>
      </c>
      <c r="AK6" s="539">
        <f>AP6/'Master P&amp;L'!$AD$7*10000</f>
        <v>-5.0080042389216893E-2</v>
      </c>
      <c r="AL6" s="512">
        <f t="shared" ref="AL6:AL7" si="28">Z6*AF6*H6*T6/S6</f>
        <v>-718242.68510192633</v>
      </c>
      <c r="AM6" s="512">
        <f t="shared" ref="AM6:AM7" si="29">IF(C6="Put",-Z6*H6*T6/S6,Z6*H6*T6/S6)</f>
        <v>-61652000</v>
      </c>
      <c r="AN6" s="539" cm="1">
        <f t="array" ref="AN6">_xll.BDP($B6&amp;" Equity","theta_mid_rt")</f>
        <v>0</v>
      </c>
      <c r="AO6" s="512">
        <f t="shared" ref="AO6:AO7" si="30">AN6*H6*T6/S6</f>
        <v>0</v>
      </c>
      <c r="AP6" s="512">
        <f t="shared" ref="AP6:AP7" si="31">(L6-K6)*T6/S6*H6</f>
        <v>-12000</v>
      </c>
      <c r="AQ6" s="122" t="str" cm="1">
        <f t="array" ref="AQ6">_xll.BDP($D6&amp;" Equity","EXPECTED_REPORT_DT")</f>
        <v>#N/A N/A</v>
      </c>
      <c r="AR6" s="530" cm="1">
        <f t="array" ref="AR6">_xll.BDP($B6&amp;" Equity","GAMMA_LAST")</f>
        <v>0.434313</v>
      </c>
      <c r="AS6" s="378">
        <f t="shared" si="13"/>
        <v>165081029.4465552</v>
      </c>
      <c r="AT6" s="378">
        <f t="shared" si="14"/>
        <v>825405147.23277617</v>
      </c>
      <c r="AU6" s="378" t="s">
        <v>151</v>
      </c>
      <c r="AV6" s="362" t="e" cm="1">
        <f t="array" ref="AV6">_xll.BDP($D6&amp;" Equity","EST_PE_NXT_YR")*(AA6/Z6)</f>
        <v>#VALUE!</v>
      </c>
      <c r="AX6" s="512"/>
      <c r="AY6" s="362">
        <v>0</v>
      </c>
      <c r="AZ6" s="531"/>
      <c r="BA6" s="512">
        <f t="shared" ref="BA6:BA7" si="32">+AY6</f>
        <v>0</v>
      </c>
      <c r="BB6" s="529">
        <f t="shared" ref="BB6:BB7" si="33">+J6</f>
        <v>0</v>
      </c>
      <c r="BC6" s="529">
        <f t="shared" ref="BC6:BC7" si="34">(BB6-BA6)*H6*100</f>
        <v>0</v>
      </c>
      <c r="BD6" s="529">
        <f>BC6/'Master P&amp;L'!$AD$7*10000</f>
        <v>0</v>
      </c>
    </row>
    <row r="7" spans="1:56" s="378" customFormat="1">
      <c r="A7" s="544" t="s">
        <v>1770</v>
      </c>
      <c r="B7" s="58" t="s">
        <v>2500</v>
      </c>
      <c r="C7" s="378" t="str" cm="1">
        <f t="array" ref="C7">_xll.BDP($B7&amp;" Equity","opt_put_call")</f>
        <v>Put</v>
      </c>
      <c r="D7" s="378" t="str" cm="1">
        <f t="array" ref="D7">_xll.BDP(B7&amp;" Equity","OPT_UNDL_TICKER")</f>
        <v>QQQ US</v>
      </c>
      <c r="E7" s="378" t="str" cm="1">
        <f t="array" ref="E7">_xll.BDP($B7&amp;" Equity","mifid_Maturity_date")</f>
        <v>03/02/2026</v>
      </c>
      <c r="F7" s="378" cm="1">
        <f t="array" ref="F7">_xll.BDP($B7&amp;" Equity","opt_days_expire")</f>
        <v>0</v>
      </c>
      <c r="G7" s="378" t="str" cm="1">
        <f t="array" ref="G7">_xll.BDP(B7&amp;" Equity","QUOTED_CURRENCY_REALTIME")</f>
        <v>USD</v>
      </c>
      <c r="H7" s="512">
        <v>-1000</v>
      </c>
      <c r="I7" s="540"/>
      <c r="J7" s="122"/>
      <c r="K7" s="122">
        <v>0.04</v>
      </c>
      <c r="L7" s="122">
        <v>0</v>
      </c>
      <c r="M7" s="406">
        <f t="shared" si="19"/>
        <v>0</v>
      </c>
      <c r="N7" s="521"/>
      <c r="O7" s="406">
        <f t="shared" si="20"/>
        <v>-1</v>
      </c>
      <c r="P7" s="122" t="str" cm="1">
        <f t="array" ref="P7">_xll.BDP($B7&amp;" Equity","bid")</f>
        <v>#N/A N/A</v>
      </c>
      <c r="Q7" s="122" cm="1">
        <f t="array" ref="Q7">_xll.BDP($B7&amp;" Equity","ask")</f>
        <v>0.01</v>
      </c>
      <c r="R7" s="523" t="e">
        <f t="shared" si="21"/>
        <v>#VALUE!</v>
      </c>
      <c r="S7" s="122" cm="1">
        <f t="array" ref="S7">_xll.BDP(G7&amp;" Curncy","PX_LAST")</f>
        <v>1</v>
      </c>
      <c r="T7" s="512" cm="1">
        <f t="array" ref="T7">_xll.BDP(B7&amp;" Equity","OPT_MULTIPLIER")</f>
        <v>100</v>
      </c>
      <c r="U7" s="512">
        <f t="shared" si="22"/>
        <v>0</v>
      </c>
      <c r="V7" s="543">
        <f>U7/'Master P&amp;L'!$AD$7*10000</f>
        <v>0</v>
      </c>
      <c r="W7" s="543">
        <f>(Y7*H7*T7/S7)/'Master P&amp;L'!$AD$7*10000</f>
        <v>0</v>
      </c>
      <c r="X7" s="534">
        <f t="shared" si="23"/>
        <v>0</v>
      </c>
      <c r="Y7" s="542">
        <f t="shared" si="24"/>
        <v>0</v>
      </c>
      <c r="Z7" s="533">
        <f>_xll.BDP(D7&amp;" Equity","LAST_PRICE")</f>
        <v>616.52</v>
      </c>
      <c r="AA7" s="533" cm="1">
        <f t="array" ref="AA7">_xll.BDP(B7&amp;" Equity","OPT_STRIKE_PX")</f>
        <v>612</v>
      </c>
      <c r="AB7" s="523">
        <f t="shared" si="25"/>
        <v>-7.3314734315188534E-3</v>
      </c>
      <c r="AC7" s="541" cm="1">
        <f t="array" ref="AC7">_xll.BDP($D7&amp;" Equity","volatility_10d")</f>
        <v>14.80309399910594</v>
      </c>
      <c r="AD7" s="533" cm="1">
        <f t="array" ref="AD7">_xll.BDP(B7&amp;" Equity","ivol_mid")</f>
        <v>39.469970000000004</v>
      </c>
      <c r="AE7" s="533">
        <f t="shared" si="26"/>
        <v>2.6663324574162579</v>
      </c>
      <c r="AF7" s="539" cm="1">
        <f t="array" ref="AF7">_xll.BDP(B7&amp;" Equity","DELTA_MID_RT")</f>
        <v>-9.2711914330720901E-3</v>
      </c>
      <c r="AG7" s="406">
        <f>AL7/'Master P&amp;L'!$AE$7</f>
        <v>2.3854271616894027E-4</v>
      </c>
      <c r="AH7" s="406">
        <f>AM7/'Master P&amp;L'!$AE$7</f>
        <v>2.5729456444833331E-2</v>
      </c>
      <c r="AI7" s="532">
        <f>AO7/'Master P&amp;L'!$AD$7*10000</f>
        <v>0</v>
      </c>
      <c r="AJ7" s="521">
        <f t="shared" si="27"/>
        <v>0</v>
      </c>
      <c r="AK7" s="539">
        <f>AP7/'Master P&amp;L'!$AD$7*10000</f>
        <v>1.6693347463072297E-2</v>
      </c>
      <c r="AL7" s="512">
        <f t="shared" si="28"/>
        <v>571587.4942317605</v>
      </c>
      <c r="AM7" s="512">
        <f t="shared" si="29"/>
        <v>61652000</v>
      </c>
      <c r="AN7" s="539" cm="1">
        <f t="array" ref="AN7">_xll.BDP($B7&amp;" Equity","theta_mid_rt")</f>
        <v>0</v>
      </c>
      <c r="AO7" s="512">
        <f t="shared" si="30"/>
        <v>0</v>
      </c>
      <c r="AP7" s="512">
        <f t="shared" si="31"/>
        <v>4000</v>
      </c>
      <c r="AQ7" s="122" t="str" cm="1">
        <f t="array" ref="AQ7">_xll.BDP($D7&amp;" Equity","EXPECTED_REPORT_DT")</f>
        <v>#N/A N/A</v>
      </c>
      <c r="AR7" s="530" cm="1">
        <f t="array" ref="AR7">_xll.BDP($B7&amp;" Equity","GAMMA_LAST")</f>
        <v>0.36124499999999998</v>
      </c>
      <c r="AS7" s="378">
        <f t="shared" si="13"/>
        <v>-137308108.39744797</v>
      </c>
      <c r="AT7" s="378">
        <f t="shared" si="14"/>
        <v>-686540541.98723984</v>
      </c>
      <c r="AU7" s="378" t="s">
        <v>151</v>
      </c>
      <c r="AV7" s="362" t="e" cm="1">
        <f t="array" ref="AV7">_xll.BDP($D7&amp;" Equity","EST_PE_NXT_YR")*(AA7/Z7)</f>
        <v>#VALUE!</v>
      </c>
      <c r="AX7" s="512"/>
      <c r="AY7" s="362">
        <v>0</v>
      </c>
      <c r="AZ7" s="531"/>
      <c r="BA7" s="512">
        <f t="shared" si="32"/>
        <v>0</v>
      </c>
      <c r="BB7" s="529">
        <f t="shared" si="33"/>
        <v>0</v>
      </c>
      <c r="BC7" s="529">
        <f t="shared" si="34"/>
        <v>0</v>
      </c>
      <c r="BD7" s="529">
        <f>BC7/'Master P&amp;L'!$AD$7*10000</f>
        <v>0</v>
      </c>
    </row>
    <row r="8" spans="1:56">
      <c r="A8" s="329"/>
      <c r="B8" s="72" t="s">
        <v>2384</v>
      </c>
      <c r="C8" s="72" t="str" cm="1">
        <f t="array" ref="C8">_xll.BDP($B8&amp;" Equity","opt_put_call")</f>
        <v>Call</v>
      </c>
      <c r="D8" s="72" t="str" cm="1">
        <f t="array" ref="D8">_xll.BDP(B8&amp;" Equity","OPT_UNDL_TICKER")</f>
        <v>NVDA US</v>
      </c>
      <c r="E8" s="72" t="str" cm="1">
        <f t="array" ref="E8">_xll.BDP($B8&amp;" Equity","mifid_Maturity_date")</f>
        <v>15/05/2026</v>
      </c>
      <c r="F8" s="72" cm="1">
        <f t="array" ref="F8">_xll.BDP($B8&amp;" Equity","opt_days_expire")</f>
        <v>101</v>
      </c>
      <c r="G8" s="72" t="str" cm="1">
        <f t="array" ref="G8">_xll.BDP(B8&amp;" Equity","QUOTED_CURRENCY_REALTIME")</f>
        <v>USD</v>
      </c>
      <c r="H8" s="41">
        <v>150</v>
      </c>
      <c r="I8" s="403">
        <v>14.91</v>
      </c>
      <c r="J8" s="14">
        <f>VLOOKUP(B8,Precificação!$B:$O,14,FALSE)</f>
        <v>12</v>
      </c>
      <c r="K8" s="14">
        <f t="shared" si="18"/>
        <v>12</v>
      </c>
      <c r="L8" s="73" cm="1">
        <f t="array" ref="L8">_xll.BDP($B8&amp;" Equity","mid")</f>
        <v>10.18</v>
      </c>
      <c r="M8" s="74">
        <f t="shared" si="0"/>
        <v>5.6448929799268049E-2</v>
      </c>
      <c r="N8" s="346"/>
      <c r="O8" s="74">
        <f t="shared" si="1"/>
        <v>-0.15166666666666673</v>
      </c>
      <c r="P8" s="73" cm="1">
        <f t="array" ref="P8">_xll.BDP($B8&amp;" Equity","bid")</f>
        <v>10.15</v>
      </c>
      <c r="Q8" s="73" cm="1">
        <f t="array" ref="Q8">_xll.BDP($B8&amp;" Equity","ask")</f>
        <v>10.199999999999999</v>
      </c>
      <c r="R8" s="75">
        <f t="shared" si="2"/>
        <v>4.9261083743841194E-3</v>
      </c>
      <c r="S8" s="35" cm="1">
        <f t="array" ref="S8">_xll.BDP(G8&amp;" Curncy","PX_LAST")</f>
        <v>1</v>
      </c>
      <c r="T8" s="41" cm="1">
        <f t="array" ref="T8">_xll.BDP(B8&amp;" Equity","OPT_MULTIPLIER")</f>
        <v>100</v>
      </c>
      <c r="U8" s="41">
        <f t="shared" si="3"/>
        <v>152700</v>
      </c>
      <c r="V8" s="112">
        <f>U8/'Master P&amp;L'!$AD$7*10000</f>
        <v>0.63726853940278494</v>
      </c>
      <c r="W8" s="112">
        <f>(Y8*H8*T8/S8)/'Master P&amp;L'!$AD$7*10000</f>
        <v>0.63726853940278494</v>
      </c>
      <c r="X8" s="117">
        <f t="shared" si="4"/>
        <v>0</v>
      </c>
      <c r="Y8" s="266">
        <f t="shared" si="5"/>
        <v>10.18</v>
      </c>
      <c r="Z8" s="76">
        <f>_xll.BDP(D8&amp;" Equity","LAST_PRICE")</f>
        <v>180.34</v>
      </c>
      <c r="AA8" s="76" cm="1">
        <f t="array" ref="AA8">_xll.BDP(B8&amp;" Equity","OPT_STRIKE_PX")</f>
        <v>200</v>
      </c>
      <c r="AB8" s="75">
        <f t="shared" si="6"/>
        <v>0.10901630253964734</v>
      </c>
      <c r="AC8" s="317" cm="1">
        <f t="array" ref="AC8">_xll.BDP($D8&amp;" Equity","volatility_10d")</f>
        <v>28.247326359112169</v>
      </c>
      <c r="AD8" s="76" cm="1">
        <f t="array" ref="AD8">_xll.BDP(B8&amp;" Equity","ivol_mid")</f>
        <v>44.294710000000002</v>
      </c>
      <c r="AE8" s="76">
        <f t="shared" si="7"/>
        <v>1.5681027449067293</v>
      </c>
      <c r="AF8" s="77" cm="1">
        <f t="array" ref="AF8">_xll.BDP(B8&amp;" Equity","DELTA_MID_RT")</f>
        <v>0.38913023471832275</v>
      </c>
      <c r="AG8" s="74">
        <f>AL8/'Master P&amp;L'!$AE$7</f>
        <v>4.3930054510904807E-4</v>
      </c>
      <c r="AH8" s="74">
        <f>AM8/'Master P&amp;L'!$AE$7</f>
        <v>1.1289293555589218E-3</v>
      </c>
      <c r="AI8" s="421">
        <f>AO8/'Master P&amp;L'!$AD$7*10000</f>
        <v>-4.8604680149068264E-3</v>
      </c>
      <c r="AJ8" s="344">
        <f t="shared" si="8"/>
        <v>8.6882730245754866E-2</v>
      </c>
      <c r="AK8" s="77">
        <f>AP8/'Master P&amp;L'!$AD$7*10000</f>
        <v>-0.11393209643546845</v>
      </c>
      <c r="AL8" s="41">
        <f t="shared" si="9"/>
        <v>1052636.1979365349</v>
      </c>
      <c r="AM8" s="41">
        <f t="shared" si="10"/>
        <v>2705100</v>
      </c>
      <c r="AN8" s="77" cm="1">
        <f t="array" ref="AN8">_xll.BDP($B8&amp;" Equity","theta_mid_rt")</f>
        <v>-7.7643193304538727E-2</v>
      </c>
      <c r="AO8" s="41">
        <f t="shared" si="11"/>
        <v>-1164.6478995680809</v>
      </c>
      <c r="AP8" s="41">
        <f t="shared" si="12"/>
        <v>-27300.000000000004</v>
      </c>
      <c r="AQ8" s="73" t="str" cm="1">
        <f t="array" ref="AQ8">_xll.BDP($D8&amp;" Equity","EXPECTED_REPORT_DT")</f>
        <v>25/02/2026</v>
      </c>
      <c r="AR8" s="230" cm="1">
        <f t="array" ref="AR8">_xll.BDP($B8&amp;" Equity","GAMMA_LAST")</f>
        <v>1.6285000000000001E-2</v>
      </c>
      <c r="AS8" s="72">
        <f t="shared" si="13"/>
        <v>79444.374981900008</v>
      </c>
      <c r="AT8" s="72">
        <f t="shared" si="14"/>
        <v>397221.87490950007</v>
      </c>
      <c r="AU8" s="72" t="s">
        <v>151</v>
      </c>
      <c r="AV8" s="316" cm="1">
        <f t="array" ref="AV8">_xll.BDP($D8&amp;" Equity","EST_PE_NXT_YR")*(AA8/Z8)</f>
        <v>25.77021784470038</v>
      </c>
      <c r="AW8" s="72"/>
      <c r="AX8" s="41"/>
      <c r="AY8" s="316">
        <v>10.18</v>
      </c>
      <c r="AZ8" s="348"/>
      <c r="BA8" s="41">
        <f t="shared" si="15"/>
        <v>10.18</v>
      </c>
      <c r="BB8" s="340">
        <f t="shared" si="16"/>
        <v>12</v>
      </c>
      <c r="BC8" s="340">
        <f t="shared" si="17"/>
        <v>27300.000000000007</v>
      </c>
      <c r="BD8" s="340">
        <f>BC8/'Master P&amp;L'!$AD$7*10000</f>
        <v>0.11393209643546846</v>
      </c>
    </row>
    <row r="9" spans="1:56" s="58" customFormat="1">
      <c r="A9" s="490" t="s">
        <v>1770</v>
      </c>
      <c r="B9" s="58" t="s">
        <v>2282</v>
      </c>
      <c r="C9" s="58" t="str" cm="1">
        <f t="array" ref="C9">_xll.BDP($B9&amp;" Equity","opt_put_call")</f>
        <v>Call</v>
      </c>
      <c r="D9" s="58" t="str" cm="1">
        <f t="array" ref="D9">_xll.BDP(B9&amp;" Equity","OPT_UNDL_TICKER")</f>
        <v>LITE US</v>
      </c>
      <c r="E9" s="58" t="str" cm="1">
        <f t="array" ref="E9">_xll.BDP($B9&amp;" Equity","mifid_Maturity_date")</f>
        <v>20/03/2026</v>
      </c>
      <c r="F9" s="58" cm="1">
        <f t="array" ref="F9">_xll.BDP($B9&amp;" Equity","opt_days_expire")</f>
        <v>45</v>
      </c>
      <c r="G9" s="58" t="str" cm="1">
        <f t="array" ref="G9">_xll.BDP(B9&amp;" Equity","QUOTED_CURRENCY_REALTIME")</f>
        <v>USD</v>
      </c>
      <c r="H9" s="398">
        <v>60</v>
      </c>
      <c r="I9" s="405">
        <v>39.83</v>
      </c>
      <c r="J9" s="14">
        <f>VLOOKUP(B9,Precificação!$B:$O,14,FALSE)</f>
        <v>69.05</v>
      </c>
      <c r="K9" s="14">
        <f t="shared" si="18"/>
        <v>69.05</v>
      </c>
      <c r="L9" s="14">
        <v>75.44</v>
      </c>
      <c r="M9" s="127">
        <f t="shared" si="0"/>
        <v>0.17338542863709491</v>
      </c>
      <c r="N9" s="418"/>
      <c r="O9" s="127">
        <f t="shared" si="1"/>
        <v>9.2541636495293345E-2</v>
      </c>
      <c r="P9" s="14" cm="1">
        <f t="array" ref="P9">_xll.BDP($B9&amp;" Equity","bid")</f>
        <v>73.5</v>
      </c>
      <c r="Q9" s="14" cm="1">
        <f t="array" ref="Q9">_xll.BDP($B9&amp;" Equity","ask")</f>
        <v>77.3</v>
      </c>
      <c r="R9" s="417">
        <f t="shared" si="2"/>
        <v>5.1700680272108723E-2</v>
      </c>
      <c r="S9" s="14" cm="1">
        <f t="array" ref="S9">_xll.BDP(G9&amp;" Curncy","PX_LAST")</f>
        <v>1</v>
      </c>
      <c r="T9" s="398" cm="1">
        <f t="array" ref="T9">_xll.BDP(B9&amp;" Equity","OPT_MULTIPLIER")</f>
        <v>100</v>
      </c>
      <c r="U9" s="398">
        <f t="shared" si="3"/>
        <v>452639.99999999994</v>
      </c>
      <c r="V9" s="491">
        <f>U9/'Master P&amp;L'!$AD$7*10000</f>
        <v>1.889019198921261</v>
      </c>
      <c r="W9" s="491">
        <f>(Y9*H9*T9/S9)/'Master P&amp;L'!$AD$7*10000</f>
        <v>1.5109148788826732</v>
      </c>
      <c r="X9" s="492">
        <f t="shared" si="4"/>
        <v>15.100000000000023</v>
      </c>
      <c r="Y9" s="493">
        <f t="shared" si="5"/>
        <v>60.339999999999975</v>
      </c>
      <c r="Z9" s="494">
        <f>_xll.BDP(D9&amp;" Equity","LAST_PRICE")</f>
        <v>435.1</v>
      </c>
      <c r="AA9" s="494" cm="1">
        <f t="array" ref="AA9">_xll.BDP(B9&amp;" Equity","OPT_STRIKE_PX")</f>
        <v>420</v>
      </c>
      <c r="AB9" s="417">
        <f t="shared" si="6"/>
        <v>-3.4704665594116335E-2</v>
      </c>
      <c r="AC9" s="419" cm="1">
        <f t="array" ref="AC9">_xll.BDP($D9&amp;" Equity","volatility_10d")</f>
        <v>80.591307578339467</v>
      </c>
      <c r="AD9" s="494" cm="1">
        <f t="array" ref="AD9">_xll.BDP(B9&amp;" Equity","ivol_mid")</f>
        <v>110.00409999999999</v>
      </c>
      <c r="AE9" s="494">
        <f t="shared" si="7"/>
        <v>1.3649623427820621</v>
      </c>
      <c r="AF9" s="495"/>
      <c r="AG9" s="127"/>
      <c r="AH9" s="127"/>
      <c r="AI9" s="496"/>
      <c r="AJ9" s="418">
        <f t="shared" si="8"/>
        <v>0</v>
      </c>
      <c r="AK9" s="495">
        <f>AP9/'Master P&amp;L'!$AD$7*10000</f>
        <v>0.16000573543354796</v>
      </c>
      <c r="AL9" s="398">
        <f t="shared" si="9"/>
        <v>0</v>
      </c>
      <c r="AM9" s="398">
        <f t="shared" si="10"/>
        <v>2610600</v>
      </c>
      <c r="AN9" s="495" cm="1">
        <f t="array" ref="AN9">_xll.BDP($B9&amp;" Equity","theta_mid_rt")</f>
        <v>-0.69221431016921997</v>
      </c>
      <c r="AO9" s="398">
        <f t="shared" si="11"/>
        <v>-4153.2858610153198</v>
      </c>
      <c r="AP9" s="398">
        <f t="shared" si="12"/>
        <v>38340</v>
      </c>
      <c r="AQ9" s="14" t="str" cm="1">
        <f t="array" ref="AQ9">_xll.BDP($D9&amp;" Equity","EXPECTED_REPORT_DT")</f>
        <v>03/02/2026</v>
      </c>
      <c r="AR9" s="113" cm="1">
        <f t="array" ref="AR9">_xll.BDP($B9&amp;" Equity","GAMMA_LAST")</f>
        <v>9.7370000000000009E-3</v>
      </c>
      <c r="AS9" s="58">
        <f t="shared" si="13"/>
        <v>110599.86248220003</v>
      </c>
      <c r="AT9" s="58">
        <f t="shared" si="14"/>
        <v>552999.31241100014</v>
      </c>
      <c r="AU9" s="58" t="s">
        <v>151</v>
      </c>
      <c r="AV9" s="331" cm="1">
        <f t="array" ref="AV9">_xll.BDP($D9&amp;" Equity","EST_PE_NXT_YR")*(AA9/Z9)</f>
        <v>45.753327343766315</v>
      </c>
      <c r="AX9" s="398"/>
      <c r="AY9" s="331">
        <v>75.44</v>
      </c>
      <c r="AZ9" s="497"/>
      <c r="BA9" s="398">
        <f t="shared" si="15"/>
        <v>75.44</v>
      </c>
      <c r="BB9" s="498">
        <f t="shared" si="16"/>
        <v>69.05</v>
      </c>
      <c r="BC9" s="498">
        <f t="shared" si="17"/>
        <v>-38340</v>
      </c>
      <c r="BD9" s="498">
        <f>BC9/'Master P&amp;L'!$AD$7*10000</f>
        <v>-0.16000573543354796</v>
      </c>
    </row>
    <row r="10" spans="1:56" s="378" customFormat="1">
      <c r="A10" s="544" t="s">
        <v>1770</v>
      </c>
      <c r="B10" s="378" t="s">
        <v>2495</v>
      </c>
      <c r="C10" s="378" t="str" cm="1">
        <f t="array" ref="C10">_xll.BDP($B10&amp;" Equity","opt_put_call")</f>
        <v>Call</v>
      </c>
      <c r="D10" s="378" t="str" cm="1">
        <f t="array" ref="D10">_xll.BDP(B10&amp;" Equity","OPT_UNDL_TICKER")</f>
        <v>NFLX US</v>
      </c>
      <c r="E10" s="378" t="str" cm="1">
        <f t="array" ref="E10">_xll.BDP($B10&amp;" Equity","mifid_Maturity_date")</f>
        <v>15/05/2026</v>
      </c>
      <c r="F10" s="378" cm="1">
        <f t="array" ref="F10">_xll.BDP($B10&amp;" Equity","opt_days_expire")</f>
        <v>101</v>
      </c>
      <c r="G10" s="378" t="str" cm="1">
        <f t="array" ref="G10">_xll.BDP(B10&amp;" Equity","QUOTED_CURRENCY_REALTIME")</f>
        <v>USD</v>
      </c>
      <c r="H10" s="512">
        <v>-200</v>
      </c>
      <c r="I10" s="540">
        <v>3.22</v>
      </c>
      <c r="J10" s="540"/>
      <c r="K10" s="540">
        <v>3.22</v>
      </c>
      <c r="L10" s="122" cm="1">
        <f t="array" ref="L10">_xll.BDP($B10&amp;" Equity","mid")</f>
        <v>3.17</v>
      </c>
      <c r="M10" s="406">
        <f t="shared" si="0"/>
        <v>3.9654741055791844E-2</v>
      </c>
      <c r="N10" s="521"/>
      <c r="O10" s="406">
        <f t="shared" si="1"/>
        <v>-1.5527950310559091E-2</v>
      </c>
      <c r="P10" s="122" cm="1">
        <f t="array" ref="P10">_xll.BDP($B10&amp;" Equity","bid")</f>
        <v>3.1</v>
      </c>
      <c r="Q10" s="122" cm="1">
        <f t="array" ref="Q10">_xll.BDP($B10&amp;" Equity","ask")</f>
        <v>3.25</v>
      </c>
      <c r="R10" s="523">
        <f t="shared" si="2"/>
        <v>4.8387096774193505E-2</v>
      </c>
      <c r="S10" s="122" cm="1">
        <f t="array" ref="S10">_xll.BDP(G10&amp;" Curncy","PX_LAST")</f>
        <v>1</v>
      </c>
      <c r="T10" s="512" cm="1">
        <f t="array" ref="T10">_xll.BDP(B10&amp;" Equity","OPT_MULTIPLIER")</f>
        <v>100</v>
      </c>
      <c r="U10" s="512">
        <f t="shared" si="3"/>
        <v>-63400</v>
      </c>
      <c r="V10" s="543">
        <f>U10/'Master P&amp;L'!$AD$7*10000</f>
        <v>-0.26458955728969591</v>
      </c>
      <c r="W10" s="543">
        <f>(Y10*H10*T10/S10)/'Master P&amp;L'!$AD$7*10000</f>
        <v>-0.26458955728969591</v>
      </c>
      <c r="X10" s="534">
        <f t="shared" si="4"/>
        <v>0</v>
      </c>
      <c r="Y10" s="542">
        <f t="shared" si="5"/>
        <v>3.17</v>
      </c>
      <c r="Z10" s="533">
        <f>_xll.BDP(D10&amp;" Equity","LAST_PRICE")</f>
        <v>79.94</v>
      </c>
      <c r="AA10" s="533" cm="1">
        <f t="array" ref="AA10">_xll.BDP(B10&amp;" Equity","OPT_STRIKE_PX")</f>
        <v>90</v>
      </c>
      <c r="AB10" s="523">
        <f t="shared" si="6"/>
        <v>0.12584438328746561</v>
      </c>
      <c r="AC10" s="541" cm="1">
        <f t="array" ref="AC10">_xll.BDP($D10&amp;" Equity","volatility_10d")</f>
        <v>29.488007542649669</v>
      </c>
      <c r="AD10" s="533" cm="1">
        <f t="array" ref="AD10">_xll.BDP(B10&amp;" Equity","ivol_mid")</f>
        <v>37.38944</v>
      </c>
      <c r="AE10" s="533">
        <f t="shared" si="7"/>
        <v>1.2679540978115316</v>
      </c>
      <c r="AF10" s="539" cm="1">
        <f t="array" ref="AF10">_xll.BDP(B10&amp;" Equity","DELTA_MID_RT")</f>
        <v>0.33406877517700195</v>
      </c>
      <c r="AG10" s="406">
        <f>AL10/'Master P&amp;L'!$AE$7</f>
        <v>-2.2290174383948923E-4</v>
      </c>
      <c r="AH10" s="406">
        <f>AM10/'Master P&amp;L'!$AE$7</f>
        <v>-6.6723309809899978E-4</v>
      </c>
      <c r="AI10" s="532">
        <f>AO10/'Master P&amp;L'!$AD$7*10000</f>
        <v>2.3368061299729945E-3</v>
      </c>
      <c r="AJ10" s="521">
        <f t="shared" si="8"/>
        <v>-4.1771305973908775E-2</v>
      </c>
      <c r="AK10" s="539">
        <f>AP10/'Master P&amp;L'!$AD$7*10000</f>
        <v>4.1733368657680967E-3</v>
      </c>
      <c r="AL10" s="512">
        <f t="shared" si="9"/>
        <v>-534109.15775299072</v>
      </c>
      <c r="AM10" s="512">
        <f t="shared" si="10"/>
        <v>-1598800</v>
      </c>
      <c r="AN10" s="539" cm="1">
        <f t="array" ref="AN10">_xll.BDP($B10&amp;" Equity","theta_mid_rt")</f>
        <v>-2.7996854856610298E-2</v>
      </c>
      <c r="AO10" s="512">
        <f t="shared" si="11"/>
        <v>559.93709713220596</v>
      </c>
      <c r="AP10" s="512">
        <f t="shared" si="12"/>
        <v>1000.0000000000053</v>
      </c>
      <c r="AQ10" s="122" t="str" cm="1">
        <f t="array" ref="AQ10">_xll.BDP($D10&amp;" Equity","EXPECTED_REPORT_DT")</f>
        <v>17/04/2026</v>
      </c>
      <c r="AR10" s="530" cm="1">
        <f t="array" ref="AR10">_xll.BDP($B10&amp;" Equity","GAMMA_LAST")</f>
        <v>1.8377000000000001E-2</v>
      </c>
      <c r="AS10" s="378">
        <f t="shared" si="13"/>
        <v>-23487.289391439997</v>
      </c>
      <c r="AT10" s="378">
        <f t="shared" si="14"/>
        <v>-117436.44695719999</v>
      </c>
      <c r="AU10" s="378" t="s">
        <v>151</v>
      </c>
      <c r="AV10" s="362" cm="1">
        <f t="array" ref="AV10">_xll.BDP($D10&amp;" Equity","EST_PE_NXT_YR")*(AA10/Z10)</f>
        <v>23.652802743336114</v>
      </c>
      <c r="AX10" s="512"/>
      <c r="AY10" s="362">
        <v>3.17</v>
      </c>
      <c r="AZ10" s="531"/>
      <c r="BA10" s="512">
        <f t="shared" si="15"/>
        <v>3.17</v>
      </c>
      <c r="BB10" s="529">
        <f t="shared" si="16"/>
        <v>0</v>
      </c>
      <c r="BC10" s="529">
        <f t="shared" si="17"/>
        <v>63400</v>
      </c>
      <c r="BD10" s="529">
        <f>BC10/'Master P&amp;L'!$AD$7*10000</f>
        <v>0.26458955728969591</v>
      </c>
    </row>
    <row r="11" spans="1:56" s="378" customFormat="1">
      <c r="A11" s="544" t="s">
        <v>1770</v>
      </c>
      <c r="B11" s="378" t="s">
        <v>2496</v>
      </c>
      <c r="C11" s="378" t="str" cm="1">
        <f t="array" ref="C11">_xll.BDP($B11&amp;" Equity","opt_put_call")</f>
        <v>Put</v>
      </c>
      <c r="D11" s="378" t="str" cm="1">
        <f t="array" ref="D11">_xll.BDP(B11&amp;" Equity","OPT_UNDL_TICKER")</f>
        <v>NFLX US</v>
      </c>
      <c r="E11" s="378" t="str" cm="1">
        <f t="array" ref="E11">_xll.BDP($B11&amp;" Equity","mifid_Maturity_date")</f>
        <v>15/05/2026</v>
      </c>
      <c r="F11" s="378" cm="1">
        <f t="array" ref="F11">_xll.BDP($B11&amp;" Equity","opt_days_expire")</f>
        <v>101</v>
      </c>
      <c r="G11" s="378" t="str" cm="1">
        <f t="array" ref="G11">_xll.BDP(B11&amp;" Equity","QUOTED_CURRENCY_REALTIME")</f>
        <v>USD</v>
      </c>
      <c r="H11" s="512">
        <v>-200</v>
      </c>
      <c r="I11" s="540">
        <v>2.13</v>
      </c>
      <c r="J11" s="540"/>
      <c r="K11" s="540">
        <v>2.13</v>
      </c>
      <c r="L11" s="122" cm="1">
        <f t="array" ref="L11">_xll.BDP($B11&amp;" Equity","mid")</f>
        <v>2.27</v>
      </c>
      <c r="M11" s="406">
        <f t="shared" si="0"/>
        <v>2.8396297222917189E-2</v>
      </c>
      <c r="N11" s="521"/>
      <c r="O11" s="406">
        <f t="shared" si="1"/>
        <v>6.5727699530516492E-2</v>
      </c>
      <c r="P11" s="122" cm="1">
        <f t="array" ref="P11">_xll.BDP($B11&amp;" Equity","bid")</f>
        <v>2.0099999999999998</v>
      </c>
      <c r="Q11" s="122" cm="1">
        <f t="array" ref="Q11">_xll.BDP($B11&amp;" Equity","ask")</f>
        <v>2.5299999999999998</v>
      </c>
      <c r="R11" s="523">
        <f t="shared" si="2"/>
        <v>0.25870646766169147</v>
      </c>
      <c r="S11" s="122" cm="1">
        <f t="array" ref="S11">_xll.BDP(G11&amp;" Curncy","PX_LAST")</f>
        <v>1</v>
      </c>
      <c r="T11" s="512" cm="1">
        <f t="array" ref="T11">_xll.BDP(B11&amp;" Equity","OPT_MULTIPLIER")</f>
        <v>100</v>
      </c>
      <c r="U11" s="512">
        <f t="shared" si="3"/>
        <v>-45400</v>
      </c>
      <c r="V11" s="543">
        <f>U11/'Master P&amp;L'!$AD$7*10000</f>
        <v>-0.1894694937058706</v>
      </c>
      <c r="W11" s="543">
        <f>(Y11*H11*T11/S11)/'Master P&amp;L'!$AD$7*10000</f>
        <v>-0.1894694937058706</v>
      </c>
      <c r="X11" s="534">
        <f t="shared" si="4"/>
        <v>0</v>
      </c>
      <c r="Y11" s="542">
        <f t="shared" si="5"/>
        <v>2.27</v>
      </c>
      <c r="Z11" s="533">
        <f>_xll.BDP(D11&amp;" Equity","LAST_PRICE")</f>
        <v>79.94</v>
      </c>
      <c r="AA11" s="533" cm="1">
        <f t="array" ref="AA11">_xll.BDP(B11&amp;" Equity","OPT_STRIKE_PX")</f>
        <v>70</v>
      </c>
      <c r="AB11" s="523">
        <f t="shared" si="6"/>
        <v>-0.12434325744308228</v>
      </c>
      <c r="AC11" s="541" cm="1">
        <f t="array" ref="AC11">_xll.BDP($D11&amp;" Equity","volatility_10d")</f>
        <v>29.488007542649669</v>
      </c>
      <c r="AD11" s="533" cm="1">
        <f t="array" ref="AD11">_xll.BDP(B11&amp;" Equity","ivol_mid")</f>
        <v>39.51146</v>
      </c>
      <c r="AE11" s="533">
        <f t="shared" si="7"/>
        <v>1.3399162335011281</v>
      </c>
      <c r="AF11" s="539" cm="1">
        <f t="array" ref="AF11">_xll.BDP(B11&amp;" Equity","DELTA_MID_RT")</f>
        <v>-0.21505105495452881</v>
      </c>
      <c r="AG11" s="406">
        <f>AL11/'Master P&amp;L'!$AE$7</f>
        <v>1.4348918164676852E-4</v>
      </c>
      <c r="AH11" s="406">
        <f>AM11/'Master P&amp;L'!$AE$7</f>
        <v>6.6723309809899978E-4</v>
      </c>
      <c r="AI11" s="532">
        <f>AO11/'Master P&amp;L'!$AD$7*10000</f>
        <v>1.9970533838636526E-3</v>
      </c>
      <c r="AJ11" s="521">
        <f t="shared" si="8"/>
        <v>-3.5698095307787718E-2</v>
      </c>
      <c r="AK11" s="539">
        <f>AP11/'Master P&amp;L'!$AD$7*10000</f>
        <v>-1.1685343224150617E-2</v>
      </c>
      <c r="AL11" s="512">
        <f t="shared" si="9"/>
        <v>343823.62666130066</v>
      </c>
      <c r="AM11" s="512">
        <f t="shared" si="10"/>
        <v>1598800</v>
      </c>
      <c r="AN11" s="539" cm="1">
        <f t="array" ref="AN11">_xll.BDP($B11&amp;" Equity","theta_mid_rt")</f>
        <v>-2.392633818089962E-2</v>
      </c>
      <c r="AO11" s="512">
        <f t="shared" si="11"/>
        <v>478.5267636179924</v>
      </c>
      <c r="AP11" s="512">
        <f t="shared" si="12"/>
        <v>-2800.0000000000023</v>
      </c>
      <c r="AQ11" s="122" t="str" cm="1">
        <f t="array" ref="AQ11">_xll.BDP($D11&amp;" Equity","EXPECTED_REPORT_DT")</f>
        <v>17/04/2026</v>
      </c>
      <c r="AR11" s="530" cm="1">
        <f t="array" ref="AR11">_xll.BDP($B11&amp;" Equity","GAMMA_LAST")</f>
        <v>1.4222E-2</v>
      </c>
      <c r="AS11" s="378">
        <f t="shared" si="13"/>
        <v>-18176.863999839999</v>
      </c>
      <c r="AT11" s="378">
        <f t="shared" si="14"/>
        <v>-90884.319999200015</v>
      </c>
      <c r="AU11" s="378" t="s">
        <v>151</v>
      </c>
      <c r="AV11" s="362" cm="1">
        <f t="array" ref="AV11">_xll.BDP($D11&amp;" Equity","EST_PE_NXT_YR")*(AA11/Z11)</f>
        <v>18.39662435592809</v>
      </c>
      <c r="AX11" s="512"/>
      <c r="AY11" s="362">
        <v>2.27</v>
      </c>
      <c r="AZ11" s="531"/>
      <c r="BA11" s="512">
        <f t="shared" si="15"/>
        <v>2.27</v>
      </c>
      <c r="BB11" s="529">
        <f t="shared" si="16"/>
        <v>0</v>
      </c>
      <c r="BC11" s="529">
        <f t="shared" si="17"/>
        <v>45400</v>
      </c>
      <c r="BD11" s="529">
        <f>BC11/'Master P&amp;L'!$AD$7*10000</f>
        <v>0.1894694937058706</v>
      </c>
    </row>
    <row r="12" spans="1:56">
      <c r="A12" s="329"/>
      <c r="B12" s="72" t="s">
        <v>2444</v>
      </c>
      <c r="C12" s="72" t="str" cm="1">
        <f t="array" ref="C12">_xll.BDP($B12&amp;" Equity","opt_put_call")</f>
        <v>Call</v>
      </c>
      <c r="D12" s="72" t="str" cm="1">
        <f t="array" ref="D12">_xll.BDP(B12&amp;" Equity","OPT_UNDL_TICKER")</f>
        <v>META US</v>
      </c>
      <c r="E12" s="72" t="str" cm="1">
        <f t="array" ref="E12">_xll.BDP($B12&amp;" Equity","mifid_Maturity_date")</f>
        <v>17/07/2026</v>
      </c>
      <c r="F12" s="72" cm="1">
        <f t="array" ref="F12">_xll.BDP($B12&amp;" Equity","opt_days_expire")</f>
        <v>164</v>
      </c>
      <c r="G12" s="72" t="str" cm="1">
        <f t="array" ref="G12">_xll.BDP(B12&amp;" Equity","QUOTED_CURRENCY_REALTIME")</f>
        <v>USD</v>
      </c>
      <c r="H12" s="41">
        <v>60</v>
      </c>
      <c r="I12" s="403">
        <v>59.2</v>
      </c>
      <c r="J12" s="14">
        <f>VLOOKUP(B12,Precificação!$B:$O,14,FALSE)</f>
        <v>48.075000000000003</v>
      </c>
      <c r="K12" s="14">
        <f t="shared" si="18"/>
        <v>48.075000000000003</v>
      </c>
      <c r="L12" s="73" cm="1">
        <f t="array" ref="L12">_xll.BDP($B12&amp;" Equity","mid")</f>
        <v>41.97</v>
      </c>
      <c r="M12" s="74">
        <f t="shared" si="0"/>
        <v>6.0676593899089193E-2</v>
      </c>
      <c r="N12" s="346"/>
      <c r="O12" s="74">
        <f t="shared" si="1"/>
        <v>-0.12698907956318262</v>
      </c>
      <c r="P12" s="73" cm="1">
        <f t="array" ref="P12">_xll.BDP($B12&amp;" Equity","bid")</f>
        <v>41.8</v>
      </c>
      <c r="Q12" s="73" cm="1">
        <f t="array" ref="Q12">_xll.BDP($B12&amp;" Equity","ask")</f>
        <v>42.15</v>
      </c>
      <c r="R12" s="75">
        <f t="shared" si="2"/>
        <v>8.3732057416268102E-3</v>
      </c>
      <c r="S12" s="35" cm="1">
        <f t="array" ref="S12">_xll.BDP(G12&amp;" Curncy","PX_LAST")</f>
        <v>1</v>
      </c>
      <c r="T12" s="41" cm="1">
        <f t="array" ref="T12">_xll.BDP(B12&amp;" Equity","OPT_MULTIPLIER")</f>
        <v>100</v>
      </c>
      <c r="U12" s="41">
        <f t="shared" si="3"/>
        <v>251819.99999999997</v>
      </c>
      <c r="V12" s="112">
        <f>U12/'Master P&amp;L'!$AD$7*10000</f>
        <v>1.0509296895377163</v>
      </c>
      <c r="W12" s="112">
        <f>(Y12*H12*T12/S12)/'Master P&amp;L'!$AD$7*10000</f>
        <v>1.0509296895377163</v>
      </c>
      <c r="X12" s="117">
        <f t="shared" si="4"/>
        <v>0</v>
      </c>
      <c r="Y12" s="266">
        <f t="shared" si="5"/>
        <v>41.97</v>
      </c>
      <c r="Z12" s="76">
        <f>_xll.BDP(D12&amp;" Equity","LAST_PRICE")</f>
        <v>691.7</v>
      </c>
      <c r="AA12" s="76" cm="1">
        <f t="array" ref="AA12">_xll.BDP(B12&amp;" Equity","OPT_STRIKE_PX")</f>
        <v>750</v>
      </c>
      <c r="AB12" s="75">
        <f t="shared" si="6"/>
        <v>8.428509469423151E-2</v>
      </c>
      <c r="AC12" s="317" cm="1">
        <f t="array" ref="AC12">_xll.BDP($D12&amp;" Equity","volatility_10d")</f>
        <v>66.421580533455852</v>
      </c>
      <c r="AD12" s="76" cm="1">
        <f t="array" ref="AD12">_xll.BDP(B12&amp;" Equity","ivol_mid")</f>
        <v>32.981969999999997</v>
      </c>
      <c r="AE12" s="76">
        <f t="shared" si="7"/>
        <v>0.49655503128817186</v>
      </c>
      <c r="AF12" s="77" cm="1">
        <f t="array" ref="AF12">_xll.BDP(B12&amp;" Equity","DELTA_MID_RT")</f>
        <v>0.42677441239356995</v>
      </c>
      <c r="AG12" s="74">
        <f>AL12/'Master P&amp;L'!$AE$7</f>
        <v>7.3918107774033825E-4</v>
      </c>
      <c r="AH12" s="74">
        <f>AM12/'Master P&amp;L'!$AE$7</f>
        <v>1.7320182660310662E-3</v>
      </c>
      <c r="AI12" s="421">
        <f>AO12/'Master P&amp;L'!$AD$7*10000</f>
        <v>-4.6025502180792469E-3</v>
      </c>
      <c r="AJ12" s="344">
        <f t="shared" si="8"/>
        <v>8.2272350689995236E-2</v>
      </c>
      <c r="AK12" s="77">
        <f>AP12/'Master P&amp;L'!$AD$7*10000</f>
        <v>-0.15286932939308467</v>
      </c>
      <c r="AL12" s="41">
        <f t="shared" si="9"/>
        <v>1771199.166315794</v>
      </c>
      <c r="AM12" s="41">
        <f t="shared" si="10"/>
        <v>4150200</v>
      </c>
      <c r="AN12" s="77" cm="1">
        <f t="array" ref="AN12">_xll.BDP($B12&amp;" Equity","theta_mid_rt")</f>
        <v>-0.18380776047706604</v>
      </c>
      <c r="AO12" s="41">
        <f t="shared" si="11"/>
        <v>-1102.8465628623962</v>
      </c>
      <c r="AP12" s="41">
        <f t="shared" si="12"/>
        <v>-36630.000000000029</v>
      </c>
      <c r="AQ12" s="73" t="str" cm="1">
        <f t="array" ref="AQ12">_xll.BDP($D12&amp;" Equity","EXPECTED_REPORT_DT")</f>
        <v>30/04/2026</v>
      </c>
      <c r="AR12" s="230" cm="1">
        <f t="array" ref="AR12">_xll.BDP($B12&amp;" Equity","GAMMA_LAST")</f>
        <v>1.7527000000000001E-2</v>
      </c>
      <c r="AS12" s="72">
        <f t="shared" si="13"/>
        <v>503146.42170180002</v>
      </c>
      <c r="AT12" s="72">
        <f t="shared" si="14"/>
        <v>2515732.1085090009</v>
      </c>
      <c r="AU12" s="72" t="s">
        <v>151</v>
      </c>
      <c r="AV12" s="316" cm="1">
        <f t="array" ref="AV12">_xll.BDP($D12&amp;" Equity","EST_PE_NXT_YR")*(AA12/Z12)</f>
        <v>19.905489271675105</v>
      </c>
      <c r="AW12" s="72"/>
      <c r="AX12" s="41"/>
      <c r="AY12" s="316">
        <v>41.97</v>
      </c>
      <c r="AZ12" s="348"/>
      <c r="BA12" s="41">
        <f t="shared" si="15"/>
        <v>41.97</v>
      </c>
      <c r="BB12" s="340">
        <f t="shared" si="16"/>
        <v>48.075000000000003</v>
      </c>
      <c r="BC12" s="340">
        <f t="shared" si="17"/>
        <v>36630.000000000022</v>
      </c>
      <c r="BD12" s="340">
        <f>BC12/'Master P&amp;L'!$AD$7*10000</f>
        <v>0.15286932939308465</v>
      </c>
    </row>
    <row r="13" spans="1:56">
      <c r="A13" s="350"/>
      <c r="B13" t="s">
        <v>2444</v>
      </c>
      <c r="C13" t="str" cm="1">
        <f t="array" ref="C13">_xll.BDP($B13&amp;" Equity","opt_put_call")</f>
        <v>Call</v>
      </c>
      <c r="D13" t="str" cm="1">
        <f t="array" ref="D13">_xll.BDP(B13&amp;" Equity","OPT_UNDL_TICKER")</f>
        <v>META US</v>
      </c>
      <c r="E13" t="str" cm="1">
        <f t="array" ref="E13">_xll.BDP($B13&amp;" Equity","mifid_Maturity_date")</f>
        <v>17/07/2026</v>
      </c>
      <c r="F13" cm="1">
        <f t="array" ref="F13">_xll.BDP($B13&amp;" Equity","opt_days_expire")</f>
        <v>164</v>
      </c>
      <c r="G13" t="str" cm="1">
        <f t="array" ref="G13">_xll.BDP(B13&amp;" Equity","QUOTED_CURRENCY_REALTIME")</f>
        <v>USD</v>
      </c>
      <c r="H13" s="15">
        <v>75</v>
      </c>
      <c r="I13" s="404">
        <v>51.68</v>
      </c>
      <c r="J13" s="35">
        <f>VLOOKUP(B13,Precificação!$B:$O,14,FALSE)</f>
        <v>48.075000000000003</v>
      </c>
      <c r="K13" s="35">
        <f t="shared" si="18"/>
        <v>48.075000000000003</v>
      </c>
      <c r="L13" s="35" cm="1">
        <f t="array" ref="L13">_xll.BDP($B13&amp;" Equity","mid")</f>
        <v>41.97</v>
      </c>
      <c r="M13" s="18">
        <f t="shared" si="0"/>
        <v>6.0676593899089193E-2</v>
      </c>
      <c r="N13" s="344"/>
      <c r="O13" s="18">
        <f t="shared" si="1"/>
        <v>-0.12698907956318262</v>
      </c>
      <c r="P13" s="35" cm="1">
        <f t="array" ref="P13">_xll.BDP($B13&amp;" Equity","bid")</f>
        <v>41.8</v>
      </c>
      <c r="Q13" s="35" cm="1">
        <f t="array" ref="Q13">_xll.BDP($B13&amp;" Equity","ask")</f>
        <v>42.15</v>
      </c>
      <c r="R13" s="39">
        <f t="shared" si="2"/>
        <v>8.3732057416268102E-3</v>
      </c>
      <c r="S13" s="35" cm="1">
        <f t="array" ref="S13">_xll.BDP(G13&amp;" Curncy","PX_LAST")</f>
        <v>1</v>
      </c>
      <c r="T13" s="15" cm="1">
        <f t="array" ref="T13">_xll.BDP(B13&amp;" Equity","OPT_MULTIPLIER")</f>
        <v>100</v>
      </c>
      <c r="U13" s="15">
        <f t="shared" si="3"/>
        <v>314775</v>
      </c>
      <c r="V13" s="123">
        <f>U13/'Master P&amp;L'!$AD$7*10000</f>
        <v>1.3136621119221457</v>
      </c>
      <c r="W13" s="123">
        <f>(Y13*H13*T13/S13)/'Master P&amp;L'!$AD$7*10000</f>
        <v>1.3136621119221457</v>
      </c>
      <c r="X13" s="407">
        <f t="shared" si="4"/>
        <v>0</v>
      </c>
      <c r="Y13" s="267">
        <f t="shared" si="5"/>
        <v>41.97</v>
      </c>
      <c r="Z13" s="36">
        <f>_xll.BDP(D13&amp;" Equity","LAST_PRICE")</f>
        <v>691.7</v>
      </c>
      <c r="AA13" s="36" cm="1">
        <f t="array" ref="AA13">_xll.BDP(B13&amp;" Equity","OPT_STRIKE_PX")</f>
        <v>750</v>
      </c>
      <c r="AB13" s="39">
        <f t="shared" si="6"/>
        <v>8.428509469423151E-2</v>
      </c>
      <c r="AC13" s="318" cm="1">
        <f t="array" ref="AC13">_xll.BDP($D13&amp;" Equity","volatility_10d")</f>
        <v>66.421580533455852</v>
      </c>
      <c r="AD13" s="36" cm="1">
        <f t="array" ref="AD13">_xll.BDP(B13&amp;" Equity","ivol_mid")</f>
        <v>32.981969999999997</v>
      </c>
      <c r="AE13" s="36">
        <f t="shared" si="7"/>
        <v>0.49655503128817186</v>
      </c>
      <c r="AF13" s="37" cm="1">
        <f t="array" ref="AF13">_xll.BDP(B13&amp;" Equity","DELTA_MID_RT")</f>
        <v>0.42677441239356995</v>
      </c>
      <c r="AG13" s="18">
        <f>AL13/'Master P&amp;L'!$AE$7</f>
        <v>9.2397634717542271E-4</v>
      </c>
      <c r="AH13" s="18">
        <f>AM13/'Master P&amp;L'!$AE$7</f>
        <v>2.165022832538833E-3</v>
      </c>
      <c r="AI13" s="420">
        <f>AO13/'Master P&amp;L'!$AD$7*10000</f>
        <v>-5.7531877725990575E-3</v>
      </c>
      <c r="AJ13" s="344">
        <f t="shared" si="8"/>
        <v>0.10284043836249404</v>
      </c>
      <c r="AK13" s="37">
        <f>AP13/'Master P&amp;L'!$AD$7*10000</f>
        <v>-0.19108666174135588</v>
      </c>
      <c r="AL13" s="15">
        <f t="shared" si="9"/>
        <v>2213998.9578947425</v>
      </c>
      <c r="AM13" s="15">
        <f t="shared" si="10"/>
        <v>5187750</v>
      </c>
      <c r="AN13" s="37" cm="1">
        <f t="array" ref="AN13">_xll.BDP($B13&amp;" Equity","theta_mid_rt")</f>
        <v>-0.18380776047706604</v>
      </c>
      <c r="AO13" s="15">
        <f t="shared" si="11"/>
        <v>-1378.5582035779953</v>
      </c>
      <c r="AP13" s="15">
        <f t="shared" si="12"/>
        <v>-45787.500000000036</v>
      </c>
      <c r="AQ13" s="35" t="str" cm="1">
        <f t="array" ref="AQ13">_xll.BDP($D13&amp;" Equity","EXPECTED_REPORT_DT")</f>
        <v>30/04/2026</v>
      </c>
      <c r="AR13" s="65" cm="1">
        <f t="array" ref="AR13">_xll.BDP($B13&amp;" Equity","GAMMA_LAST")</f>
        <v>1.7527000000000001E-2</v>
      </c>
      <c r="AS13">
        <f t="shared" si="13"/>
        <v>628933.0271272501</v>
      </c>
      <c r="AT13">
        <f t="shared" si="14"/>
        <v>3144665.135636251</v>
      </c>
      <c r="AU13" t="s">
        <v>151</v>
      </c>
      <c r="AV13" s="271" cm="1">
        <f t="array" ref="AV13">_xll.BDP($D13&amp;" Equity","EST_PE_NXT_YR")*(AA13/Z13)</f>
        <v>19.905489271675105</v>
      </c>
      <c r="AX13" s="15"/>
      <c r="AY13" s="271">
        <v>41.97</v>
      </c>
      <c r="AZ13" s="349"/>
      <c r="BA13" s="15">
        <f t="shared" si="15"/>
        <v>41.97</v>
      </c>
      <c r="BB13" s="408">
        <f t="shared" si="16"/>
        <v>48.075000000000003</v>
      </c>
      <c r="BC13" s="408">
        <f t="shared" si="17"/>
        <v>45787.500000000029</v>
      </c>
      <c r="BD13" s="408">
        <f>BC13/'Master P&amp;L'!$AD$7*10000</f>
        <v>0.19108666174135583</v>
      </c>
    </row>
    <row r="14" spans="1:56" s="58" customFormat="1">
      <c r="A14" s="490" t="s">
        <v>1770</v>
      </c>
      <c r="B14" s="58" t="s">
        <v>2094</v>
      </c>
      <c r="C14" s="58" t="str" cm="1">
        <f t="array" ref="C14">_xll.BDP($B14&amp;" Equity","opt_put_call")</f>
        <v>Put</v>
      </c>
      <c r="D14" s="58" t="str" cm="1">
        <f t="array" ref="D14">_xll.BDP(B14&amp;" Equity","OPT_UNDL_TICKER")</f>
        <v>MRVL US</v>
      </c>
      <c r="E14" s="58" t="str" cm="1">
        <f t="array" ref="E14">_xll.BDP($B14&amp;" Equity","mifid_Maturity_date")</f>
        <v>20/03/2026</v>
      </c>
      <c r="F14" s="58" cm="1">
        <f t="array" ref="F14">_xll.BDP($B14&amp;" Equity","opt_days_expire")</f>
        <v>45</v>
      </c>
      <c r="G14" s="58" t="str" cm="1">
        <f t="array" ref="G14">_xll.BDP(B14&amp;" Equity","QUOTED_CURRENCY_REALTIME")</f>
        <v>USD</v>
      </c>
      <c r="H14" s="398">
        <v>200</v>
      </c>
      <c r="I14" s="405">
        <v>9.1999999999999993</v>
      </c>
      <c r="J14" s="14">
        <f>VLOOKUP(B14,Precificação!$B:$O,14,FALSE)</f>
        <v>10.6</v>
      </c>
      <c r="K14" s="14">
        <f t="shared" si="18"/>
        <v>10.6</v>
      </c>
      <c r="L14" s="14">
        <v>14.15</v>
      </c>
      <c r="M14" s="127">
        <f t="shared" si="0"/>
        <v>0.18731797723060628</v>
      </c>
      <c r="N14" s="418"/>
      <c r="O14" s="127">
        <f t="shared" si="1"/>
        <v>0.33490566037735858</v>
      </c>
      <c r="P14" s="14" cm="1">
        <f t="array" ref="P14">_xll.BDP($B14&amp;" Equity","bid")</f>
        <v>12.5</v>
      </c>
      <c r="Q14" s="14" cm="1">
        <f t="array" ref="Q14">_xll.BDP($B14&amp;" Equity","ask")</f>
        <v>12.85</v>
      </c>
      <c r="R14" s="417">
        <f t="shared" si="2"/>
        <v>2.8000000000000025E-2</v>
      </c>
      <c r="S14" s="14" cm="1">
        <f t="array" ref="S14">_xll.BDP(G14&amp;" Curncy","PX_LAST")</f>
        <v>1</v>
      </c>
      <c r="T14" s="398" cm="1">
        <f t="array" ref="T14">_xll.BDP(B14&amp;" Equity","OPT_MULTIPLIER")</f>
        <v>100</v>
      </c>
      <c r="U14" s="398">
        <f t="shared" si="3"/>
        <v>283000</v>
      </c>
      <c r="V14" s="491">
        <f>U14/'Master P&amp;L'!$AD$7*10000</f>
        <v>1.1810543330123651</v>
      </c>
      <c r="W14" s="491">
        <f>(Y14*H14*T14/S14)/'Master P&amp;L'!$AD$7*10000</f>
        <v>0.39145899800904593</v>
      </c>
      <c r="X14" s="492">
        <f t="shared" si="4"/>
        <v>9.4599999999999937</v>
      </c>
      <c r="Y14" s="493">
        <f t="shared" si="5"/>
        <v>4.6900000000000066</v>
      </c>
      <c r="Z14" s="494">
        <f>_xll.BDP(D14&amp;" Equity","LAST_PRICE")</f>
        <v>75.540000000000006</v>
      </c>
      <c r="AA14" s="494" cm="1">
        <f t="array" ref="AA14">_xll.BDP(B14&amp;" Equity","OPT_STRIKE_PX")</f>
        <v>85</v>
      </c>
      <c r="AB14" s="417">
        <f t="shared" si="6"/>
        <v>0.12523166534286467</v>
      </c>
      <c r="AC14" s="419" cm="1">
        <f t="array" ref="AC14">_xll.BDP($D14&amp;" Equity","volatility_10d")</f>
        <v>37.706205218826433</v>
      </c>
      <c r="AD14" s="494" cm="1">
        <f t="array" ref="AD14">_xll.BDP(B14&amp;" Equity","ivol_mid")</f>
        <v>64.009540000000001</v>
      </c>
      <c r="AE14" s="494">
        <f t="shared" si="7"/>
        <v>1.6975863688356658</v>
      </c>
      <c r="AF14" s="495"/>
      <c r="AG14" s="127"/>
      <c r="AH14" s="127"/>
      <c r="AI14" s="496"/>
      <c r="AJ14" s="418">
        <f t="shared" si="8"/>
        <v>0</v>
      </c>
      <c r="AK14" s="495">
        <f>AP14/'Master P&amp;L'!$AD$7*10000</f>
        <v>0.29630691746953336</v>
      </c>
      <c r="AL14" s="398">
        <f t="shared" si="9"/>
        <v>0</v>
      </c>
      <c r="AM14" s="398">
        <f t="shared" si="10"/>
        <v>-1510800.0000000002</v>
      </c>
      <c r="AN14" s="495" cm="1">
        <f t="array" ref="AN14">_xll.BDP($B14&amp;" Equity","theta_mid_rt")</f>
        <v>-6.81581050157547E-2</v>
      </c>
      <c r="AO14" s="398">
        <f t="shared" si="11"/>
        <v>-1363.162100315094</v>
      </c>
      <c r="AP14" s="398">
        <f t="shared" si="12"/>
        <v>71000.000000000015</v>
      </c>
      <c r="AQ14" s="14" t="str" cm="1">
        <f t="array" ref="AQ14">_xll.BDP($D14&amp;" Equity","EXPECTED_REPORT_DT")</f>
        <v>05/03/2026</v>
      </c>
      <c r="AR14" s="113" cm="1">
        <f t="array" ref="AR14">_xll.BDP($B14&amp;" Equity","GAMMA_LAST")</f>
        <v>1.5758000000000001E-2</v>
      </c>
      <c r="AS14" s="58">
        <f t="shared" si="13"/>
        <v>17983.948606560007</v>
      </c>
      <c r="AT14" s="58">
        <f t="shared" si="14"/>
        <v>89919.743032800034</v>
      </c>
      <c r="AU14" s="58" t="s">
        <v>151</v>
      </c>
      <c r="AV14" s="331" cm="1">
        <f t="array" ref="AV14">_xll.BDP($D14&amp;" Equity","EST_PE_NXT_YR")*(AA14/Z14)</f>
        <v>23.712691889893605</v>
      </c>
      <c r="AX14" s="398"/>
      <c r="AY14" s="331">
        <v>14.15</v>
      </c>
      <c r="AZ14" s="497"/>
      <c r="BA14" s="398">
        <f t="shared" si="15"/>
        <v>14.15</v>
      </c>
      <c r="BB14" s="498">
        <f t="shared" si="16"/>
        <v>10.6</v>
      </c>
      <c r="BC14" s="498">
        <f t="shared" si="17"/>
        <v>-71000.000000000015</v>
      </c>
      <c r="BD14" s="498">
        <f>BC14/'Master P&amp;L'!$AD$7*10000</f>
        <v>-0.29630691746953336</v>
      </c>
    </row>
    <row r="15" spans="1:56" s="58" customFormat="1">
      <c r="A15" s="490" t="s">
        <v>1770</v>
      </c>
      <c r="B15" s="58" t="s">
        <v>2095</v>
      </c>
      <c r="C15" s="58" t="str" cm="1">
        <f t="array" ref="C15">_xll.BDP($B15&amp;" Equity","opt_put_call")</f>
        <v>Put</v>
      </c>
      <c r="D15" s="58" t="str" cm="1">
        <f t="array" ref="D15">_xll.BDP(B15&amp;" Equity","OPT_UNDL_TICKER")</f>
        <v>MRVL US</v>
      </c>
      <c r="E15" s="58" t="str" cm="1">
        <f t="array" ref="E15">_xll.BDP($B15&amp;" Equity","mifid_Maturity_date")</f>
        <v>20/03/2026</v>
      </c>
      <c r="F15" s="58" cm="1">
        <f t="array" ref="F15">_xll.BDP($B15&amp;" Equity","opt_days_expire")</f>
        <v>45</v>
      </c>
      <c r="G15" s="58" t="str" cm="1">
        <f t="array" ref="G15">_xll.BDP(B15&amp;" Equity","QUOTED_CURRENCY_REALTIME")</f>
        <v>USD</v>
      </c>
      <c r="H15" s="398">
        <v>-200</v>
      </c>
      <c r="I15" s="405">
        <v>4.5999999999999996</v>
      </c>
      <c r="J15" s="14">
        <f>VLOOKUP(B15,Precificação!$B:$O,14,FALSE)</f>
        <v>4.9749999999999996</v>
      </c>
      <c r="K15" s="14">
        <f t="shared" si="18"/>
        <v>4.9749999999999996</v>
      </c>
      <c r="L15" s="14">
        <v>7.4</v>
      </c>
      <c r="M15" s="127">
        <f t="shared" si="0"/>
        <v>9.7961344982790577E-2</v>
      </c>
      <c r="N15" s="418"/>
      <c r="O15" s="127">
        <f t="shared" si="1"/>
        <v>0.48743718592964846</v>
      </c>
      <c r="P15" s="14" cm="1">
        <f t="array" ref="P15">_xll.BDP($B15&amp;" Equity","bid")</f>
        <v>6.25</v>
      </c>
      <c r="Q15" s="14" cm="1">
        <f t="array" ref="Q15">_xll.BDP($B15&amp;" Equity","ask")</f>
        <v>6.5</v>
      </c>
      <c r="R15" s="417">
        <f t="shared" si="2"/>
        <v>4.0000000000000036E-2</v>
      </c>
      <c r="S15" s="14" cm="1">
        <f t="array" ref="S15">_xll.BDP(G15&amp;" Curncy","PX_LAST")</f>
        <v>1</v>
      </c>
      <c r="T15" s="398" cm="1">
        <f t="array" ref="T15">_xll.BDP(B15&amp;" Equity","OPT_MULTIPLIER")</f>
        <v>100</v>
      </c>
      <c r="U15" s="398">
        <f t="shared" si="3"/>
        <v>-148000</v>
      </c>
      <c r="V15" s="491">
        <f>U15/'Master P&amp;L'!$AD$7*10000</f>
        <v>-0.61765385613367507</v>
      </c>
      <c r="W15" s="491">
        <f>(Y15*H15*T15/S15)/'Master P&amp;L'!$AD$7*10000</f>
        <v>-0.61765385613367507</v>
      </c>
      <c r="X15" s="492">
        <f t="shared" si="4"/>
        <v>0</v>
      </c>
      <c r="Y15" s="493">
        <f t="shared" si="5"/>
        <v>7.4</v>
      </c>
      <c r="Z15" s="494">
        <f>_xll.BDP(D15&amp;" Equity","LAST_PRICE")</f>
        <v>75.540000000000006</v>
      </c>
      <c r="AA15" s="494" cm="1">
        <f t="array" ref="AA15">_xll.BDP(B15&amp;" Equity","OPT_STRIKE_PX")</f>
        <v>75</v>
      </c>
      <c r="AB15" s="417">
        <f t="shared" si="6"/>
        <v>-7.1485305798253407E-3</v>
      </c>
      <c r="AC15" s="419" cm="1">
        <f t="array" ref="AC15">_xll.BDP($D15&amp;" Equity","volatility_10d")</f>
        <v>37.706205218826433</v>
      </c>
      <c r="AD15" s="494" cm="1">
        <f t="array" ref="AD15">_xll.BDP(B15&amp;" Equity","ivol_mid")</f>
        <v>63.489879999999999</v>
      </c>
      <c r="AE15" s="494">
        <f t="shared" si="7"/>
        <v>1.6838045523684777</v>
      </c>
      <c r="AF15" s="495"/>
      <c r="AG15" s="127"/>
      <c r="AH15" s="127"/>
      <c r="AI15" s="496"/>
      <c r="AJ15" s="418">
        <f t="shared" si="8"/>
        <v>0</v>
      </c>
      <c r="AK15" s="495">
        <f>AP15/'Master P&amp;L'!$AD$7*10000</f>
        <v>-0.20240683798975165</v>
      </c>
      <c r="AL15" s="398">
        <f t="shared" si="9"/>
        <v>0</v>
      </c>
      <c r="AM15" s="398">
        <f t="shared" si="10"/>
        <v>1510800.0000000002</v>
      </c>
      <c r="AN15" s="495" cm="1">
        <f t="array" ref="AN15">_xll.BDP($B15&amp;" Equity","theta_mid_rt")</f>
        <v>-7.3196597397327423E-2</v>
      </c>
      <c r="AO15" s="398">
        <f t="shared" si="11"/>
        <v>1463.9319479465485</v>
      </c>
      <c r="AP15" s="398">
        <f t="shared" si="12"/>
        <v>-48500.000000000015</v>
      </c>
      <c r="AQ15" s="14" t="str" cm="1">
        <f t="array" ref="AQ15">_xll.BDP($D15&amp;" Equity","EXPECTED_REPORT_DT")</f>
        <v>05/03/2026</v>
      </c>
      <c r="AR15" s="113" cm="1">
        <f t="array" ref="AR15">_xll.BDP($B15&amp;" Equity","GAMMA_LAST")</f>
        <v>1.7493000000000002E-2</v>
      </c>
      <c r="AS15" s="58">
        <f t="shared" si="13"/>
        <v>-19964.031791760004</v>
      </c>
      <c r="AT15" s="58">
        <f t="shared" si="14"/>
        <v>-99820.158958800035</v>
      </c>
      <c r="AU15" s="58" t="s">
        <v>151</v>
      </c>
      <c r="AV15" s="331" cm="1">
        <f t="array" ref="AV15">_xll.BDP($D15&amp;" Equity","EST_PE_NXT_YR")*(AA15/Z15)</f>
        <v>20.922963432259063</v>
      </c>
      <c r="AX15" s="398"/>
      <c r="AY15" s="331">
        <v>7.4</v>
      </c>
      <c r="AZ15" s="497"/>
      <c r="BA15" s="398">
        <f t="shared" si="15"/>
        <v>7.4</v>
      </c>
      <c r="BB15" s="498">
        <f t="shared" si="16"/>
        <v>4.9749999999999996</v>
      </c>
      <c r="BC15" s="498">
        <f t="shared" si="17"/>
        <v>48500.000000000015</v>
      </c>
      <c r="BD15" s="498">
        <f>BC15/'Master P&amp;L'!$AD$7*10000</f>
        <v>0.20240683798975165</v>
      </c>
    </row>
    <row r="16" spans="1:56" s="58" customFormat="1">
      <c r="A16" s="490" t="s">
        <v>1770</v>
      </c>
      <c r="B16" s="58" t="s">
        <v>2058</v>
      </c>
      <c r="C16" s="58" t="str" cm="1">
        <f t="array" ref="C16">_xll.BDP($B16&amp;" Equity","opt_put_call")</f>
        <v>Put</v>
      </c>
      <c r="D16" s="58" t="str" cm="1">
        <f t="array" ref="D16">_xll.BDP(B16&amp;" Equity","OPT_UNDL_TICKER")</f>
        <v>MRVL US</v>
      </c>
      <c r="E16" s="58" t="str" cm="1">
        <f t="array" ref="E16">_xll.BDP($B16&amp;" Equity","mifid_Maturity_date")</f>
        <v>20/03/2026</v>
      </c>
      <c r="F16" s="58" cm="1">
        <f t="array" ref="F16">_xll.BDP($B16&amp;" Equity","opt_days_expire")</f>
        <v>45</v>
      </c>
      <c r="G16" s="58" t="str" cm="1">
        <f t="array" ref="G16">_xll.BDP(B16&amp;" Equity","QUOTED_CURRENCY_REALTIME")</f>
        <v>USD</v>
      </c>
      <c r="H16" s="398">
        <v>150</v>
      </c>
      <c r="I16" s="405">
        <v>6.13</v>
      </c>
      <c r="J16" s="14">
        <f>VLOOKUP(B16,Precificação!$B:$O,14,FALSE)</f>
        <v>7.5</v>
      </c>
      <c r="K16" s="14">
        <f t="shared" si="18"/>
        <v>7.5</v>
      </c>
      <c r="L16" s="14">
        <v>10.46</v>
      </c>
      <c r="M16" s="127">
        <f t="shared" si="0"/>
        <v>0.1384696849351337</v>
      </c>
      <c r="N16" s="418"/>
      <c r="O16" s="127">
        <f t="shared" si="1"/>
        <v>0.39466666666666672</v>
      </c>
      <c r="P16" s="14" cm="1">
        <f t="array" ref="P16">_xll.BDP($B16&amp;" Equity","bid")</f>
        <v>9.1999999999999993</v>
      </c>
      <c r="Q16" s="14" cm="1">
        <f t="array" ref="Q16">_xll.BDP($B16&amp;" Equity","ask")</f>
        <v>9.4</v>
      </c>
      <c r="R16" s="417">
        <f t="shared" si="2"/>
        <v>2.1739130434782705E-2</v>
      </c>
      <c r="S16" s="14" cm="1">
        <f t="array" ref="S16">_xll.BDP(G16&amp;" Curncy","PX_LAST")</f>
        <v>1</v>
      </c>
      <c r="T16" s="398" cm="1">
        <f t="array" ref="T16">_xll.BDP(B16&amp;" Equity","OPT_MULTIPLIER")</f>
        <v>100</v>
      </c>
      <c r="U16" s="398">
        <f t="shared" si="3"/>
        <v>156900.00000000003</v>
      </c>
      <c r="V16" s="491">
        <f>U16/'Master P&amp;L'!$AD$7*10000</f>
        <v>0.65479655423901095</v>
      </c>
      <c r="W16" s="491">
        <f>(Y16*H16*T16/S16)/'Master P&amp;L'!$AD$7*10000</f>
        <v>0.37560031791912707</v>
      </c>
      <c r="X16" s="492">
        <f t="shared" si="4"/>
        <v>4.4599999999999937</v>
      </c>
      <c r="Y16" s="493">
        <f t="shared" si="5"/>
        <v>6.0000000000000071</v>
      </c>
      <c r="Z16" s="494">
        <f>_xll.BDP(D16&amp;" Equity","LAST_PRICE")</f>
        <v>75.540000000000006</v>
      </c>
      <c r="AA16" s="494" cm="1">
        <f t="array" ref="AA16">_xll.BDP(B16&amp;" Equity","OPT_STRIKE_PX")</f>
        <v>80</v>
      </c>
      <c r="AB16" s="417">
        <f t="shared" si="6"/>
        <v>5.9041567381519666E-2</v>
      </c>
      <c r="AC16" s="419" cm="1">
        <f t="array" ref="AC16">_xll.BDP($D16&amp;" Equity","volatility_10d")</f>
        <v>37.706205218826433</v>
      </c>
      <c r="AD16" s="494" cm="1">
        <f t="array" ref="AD16">_xll.BDP(B16&amp;" Equity","ivol_mid")</f>
        <v>63.352409999999999</v>
      </c>
      <c r="AE16" s="494">
        <f t="shared" si="7"/>
        <v>1.6801587333526897</v>
      </c>
      <c r="AF16" s="495"/>
      <c r="AG16" s="127"/>
      <c r="AH16" s="127"/>
      <c r="AI16" s="496"/>
      <c r="AJ16" s="418">
        <f t="shared" si="8"/>
        <v>0</v>
      </c>
      <c r="AK16" s="495">
        <f>AP16/'Master P&amp;L'!$AD$7*10000</f>
        <v>0.18529615684010256</v>
      </c>
      <c r="AL16" s="398">
        <f t="shared" si="9"/>
        <v>0</v>
      </c>
      <c r="AM16" s="398">
        <f t="shared" si="10"/>
        <v>-1133100.0000000002</v>
      </c>
      <c r="AN16" s="495" cm="1">
        <f t="array" ref="AN16">_xll.BDP($B16&amp;" Equity","theta_mid_rt")</f>
        <v>-7.3793105781078339E-2</v>
      </c>
      <c r="AO16" s="398">
        <f t="shared" si="11"/>
        <v>-1106.8965867161751</v>
      </c>
      <c r="AP16" s="398">
        <f t="shared" si="12"/>
        <v>44400.000000000015</v>
      </c>
      <c r="AQ16" s="14" t="str" cm="1">
        <f t="array" ref="AQ16">_xll.BDP($D16&amp;" Equity","EXPECTED_REPORT_DT")</f>
        <v>05/03/2026</v>
      </c>
      <c r="AR16" s="113" cm="1">
        <f t="array" ref="AR16">_xll.BDP($B16&amp;" Equity","GAMMA_LAST")</f>
        <v>1.7731E-2</v>
      </c>
      <c r="AS16" s="58">
        <f t="shared" si="13"/>
        <v>15176.738453940005</v>
      </c>
      <c r="AT16" s="58">
        <f t="shared" si="14"/>
        <v>75883.692269700026</v>
      </c>
      <c r="AU16" s="58" t="s">
        <v>151</v>
      </c>
      <c r="AV16" s="331" cm="1">
        <f t="array" ref="AV16">_xll.BDP($D16&amp;" Equity","EST_PE_NXT_YR")*(AA16/Z16)</f>
        <v>22.317827661076333</v>
      </c>
      <c r="AX16" s="398"/>
      <c r="AY16" s="331">
        <v>10.46</v>
      </c>
      <c r="AZ16" s="497"/>
      <c r="BA16" s="398">
        <f t="shared" si="15"/>
        <v>10.46</v>
      </c>
      <c r="BB16" s="498">
        <f t="shared" si="16"/>
        <v>7.5</v>
      </c>
      <c r="BC16" s="498">
        <f t="shared" si="17"/>
        <v>-44400.000000000015</v>
      </c>
      <c r="BD16" s="498">
        <f>BC16/'Master P&amp;L'!$AD$7*10000</f>
        <v>-0.18529615684010256</v>
      </c>
    </row>
    <row r="17" spans="1:56" s="58" customFormat="1">
      <c r="A17" s="490" t="s">
        <v>1770</v>
      </c>
      <c r="B17" s="58" t="s">
        <v>2270</v>
      </c>
      <c r="C17" s="58" t="str" cm="1">
        <f t="array" ref="C17">_xll.BDP($B17&amp;" Equity","opt_put_call")</f>
        <v>Put</v>
      </c>
      <c r="D17" s="58" t="str" cm="1">
        <f t="array" ref="D17">_xll.BDP(B17&amp;" Equity","OPT_UNDL_TICKER")</f>
        <v>MRVL US</v>
      </c>
      <c r="E17" s="58" t="str" cm="1">
        <f t="array" ref="E17">_xll.BDP($B17&amp;" Equity","mifid_Maturity_date")</f>
        <v>20/03/2026</v>
      </c>
      <c r="F17" s="58" cm="1">
        <f t="array" ref="F17">_xll.BDP($B17&amp;" Equity","opt_days_expire")</f>
        <v>45</v>
      </c>
      <c r="G17" s="58" t="str" cm="1">
        <f t="array" ref="G17">_xll.BDP(B17&amp;" Equity","QUOTED_CURRENCY_REALTIME")</f>
        <v>USD</v>
      </c>
      <c r="H17" s="398">
        <v>-150</v>
      </c>
      <c r="I17" s="405">
        <v>2.52</v>
      </c>
      <c r="J17" s="14">
        <f>VLOOKUP(B17,Precificação!$B:$O,14,FALSE)</f>
        <v>3.06</v>
      </c>
      <c r="K17" s="14">
        <f t="shared" si="18"/>
        <v>3.06</v>
      </c>
      <c r="L17" s="14">
        <v>4.82</v>
      </c>
      <c r="M17" s="127">
        <f t="shared" si="0"/>
        <v>6.380725443473656E-2</v>
      </c>
      <c r="N17" s="418"/>
      <c r="O17" s="127">
        <f t="shared" si="1"/>
        <v>0.57516339869281041</v>
      </c>
      <c r="P17" s="14" cm="1">
        <f t="array" ref="P17">_xll.BDP($B17&amp;" Equity","bid")</f>
        <v>3.95</v>
      </c>
      <c r="Q17" s="14" cm="1">
        <f t="array" ref="Q17">_xll.BDP($B17&amp;" Equity","ask")</f>
        <v>4.25</v>
      </c>
      <c r="R17" s="417">
        <f t="shared" si="2"/>
        <v>7.5949367088607556E-2</v>
      </c>
      <c r="S17" s="14" cm="1">
        <f t="array" ref="S17">_xll.BDP(G17&amp;" Curncy","PX_LAST")</f>
        <v>1</v>
      </c>
      <c r="T17" s="398" cm="1">
        <f t="array" ref="T17">_xll.BDP(B17&amp;" Equity","OPT_MULTIPLIER")</f>
        <v>100</v>
      </c>
      <c r="U17" s="398">
        <f t="shared" si="3"/>
        <v>-72300</v>
      </c>
      <c r="V17" s="491">
        <f>U17/'Master P&amp;L'!$AD$7*10000</f>
        <v>-0.30173225539503179</v>
      </c>
      <c r="W17" s="491">
        <f>(Y17*H17*T17/S17)/'Master P&amp;L'!$AD$7*10000</f>
        <v>-0.30173225539503179</v>
      </c>
      <c r="X17" s="492">
        <f t="shared" si="4"/>
        <v>0</v>
      </c>
      <c r="Y17" s="493">
        <f t="shared" si="5"/>
        <v>4.82</v>
      </c>
      <c r="Z17" s="494">
        <f>_xll.BDP(D17&amp;" Equity","LAST_PRICE")</f>
        <v>75.540000000000006</v>
      </c>
      <c r="AA17" s="494" cm="1">
        <f t="array" ref="AA17">_xll.BDP(B17&amp;" Equity","OPT_STRIKE_PX")</f>
        <v>70</v>
      </c>
      <c r="AB17" s="417">
        <f t="shared" si="6"/>
        <v>-7.3338628541170348E-2</v>
      </c>
      <c r="AC17" s="419" cm="1">
        <f t="array" ref="AC17">_xll.BDP($D17&amp;" Equity","volatility_10d")</f>
        <v>37.706205218826433</v>
      </c>
      <c r="AD17" s="494" cm="1">
        <f t="array" ref="AD17">_xll.BDP(B17&amp;" Equity","ivol_mid")</f>
        <v>64.406750000000002</v>
      </c>
      <c r="AE17" s="494">
        <f t="shared" si="7"/>
        <v>1.7081207092100104</v>
      </c>
      <c r="AF17" s="495"/>
      <c r="AG17" s="127"/>
      <c r="AH17" s="127"/>
      <c r="AI17" s="496"/>
      <c r="AJ17" s="418">
        <f t="shared" si="8"/>
        <v>0</v>
      </c>
      <c r="AK17" s="495">
        <f>AP17/'Master P&amp;L'!$AD$7*10000</f>
        <v>-0.11017609325627717</v>
      </c>
      <c r="AL17" s="398">
        <f t="shared" si="9"/>
        <v>0</v>
      </c>
      <c r="AM17" s="398">
        <f t="shared" si="10"/>
        <v>1133100.0000000002</v>
      </c>
      <c r="AN17" s="495" cm="1">
        <f t="array" ref="AN17">_xll.BDP($B17&amp;" Equity","theta_mid_rt")</f>
        <v>-6.7155010998249054E-2</v>
      </c>
      <c r="AO17" s="398">
        <f t="shared" si="11"/>
        <v>1007.3251649737358</v>
      </c>
      <c r="AP17" s="398">
        <f t="shared" si="12"/>
        <v>-26400.000000000004</v>
      </c>
      <c r="AQ17" s="14" t="str" cm="1">
        <f t="array" ref="AQ17">_xll.BDP($D17&amp;" Equity","EXPECTED_REPORT_DT")</f>
        <v>05/03/2026</v>
      </c>
      <c r="AR17" s="113" cm="1">
        <f t="array" ref="AR17">_xll.BDP($B17&amp;" Equity","GAMMA_LAST")</f>
        <v>1.5962E-2</v>
      </c>
      <c r="AS17" s="58">
        <f t="shared" si="13"/>
        <v>-13662.573977880003</v>
      </c>
      <c r="AT17" s="58">
        <f t="shared" si="14"/>
        <v>-68312.869889400012</v>
      </c>
      <c r="AU17" s="58" t="s">
        <v>151</v>
      </c>
      <c r="AV17" s="331" cm="1">
        <f t="array" ref="AV17">_xll.BDP($D17&amp;" Equity","EST_PE_NXT_YR")*(AA17/Z17)</f>
        <v>19.528099203441791</v>
      </c>
      <c r="AX17" s="398"/>
      <c r="AY17" s="331">
        <v>4.82</v>
      </c>
      <c r="AZ17" s="497"/>
      <c r="BA17" s="398">
        <f t="shared" si="15"/>
        <v>4.82</v>
      </c>
      <c r="BB17" s="498">
        <f t="shared" si="16"/>
        <v>3.06</v>
      </c>
      <c r="BC17" s="498">
        <f t="shared" si="17"/>
        <v>26400.000000000007</v>
      </c>
      <c r="BD17" s="498">
        <f>BC17/'Master P&amp;L'!$AD$7*10000</f>
        <v>0.1101760932562772</v>
      </c>
    </row>
    <row r="18" spans="1:56" s="378" customFormat="1">
      <c r="A18" s="544" t="s">
        <v>1770</v>
      </c>
      <c r="B18" s="378" t="s">
        <v>2270</v>
      </c>
      <c r="C18" s="378" t="str" cm="1">
        <f t="array" ref="C18">_xll.BDP($B18&amp;" Equity","opt_put_call")</f>
        <v>Put</v>
      </c>
      <c r="D18" s="378" t="str" cm="1">
        <f t="array" ref="D18">_xll.BDP(B18&amp;" Equity","OPT_UNDL_TICKER")</f>
        <v>MRVL US</v>
      </c>
      <c r="E18" s="378" t="str" cm="1">
        <f t="array" ref="E18">_xll.BDP($B18&amp;" Equity","mifid_Maturity_date")</f>
        <v>20/03/2026</v>
      </c>
      <c r="F18" s="378" cm="1">
        <f t="array" ref="F18">_xll.BDP($B18&amp;" Equity","opt_days_expire")</f>
        <v>45</v>
      </c>
      <c r="G18" s="378" t="str" cm="1">
        <f t="array" ref="G18">_xll.BDP(B18&amp;" Equity","QUOTED_CURRENCY_REALTIME")</f>
        <v>USD</v>
      </c>
      <c r="H18" s="512">
        <v>450</v>
      </c>
      <c r="I18" s="540">
        <v>4.82</v>
      </c>
      <c r="J18" s="122"/>
      <c r="K18" s="122">
        <v>4.82</v>
      </c>
      <c r="L18" s="122" cm="1">
        <f t="array" ref="L18">_xll.BDP($B18&amp;" Equity","mid")</f>
        <v>4.0999999999999996</v>
      </c>
      <c r="M18" s="406">
        <f t="shared" si="0"/>
        <v>5.4275880328302877E-2</v>
      </c>
      <c r="N18" s="521"/>
      <c r="O18" s="406">
        <f t="shared" si="1"/>
        <v>-0.14937759336099599</v>
      </c>
      <c r="P18" s="122" cm="1">
        <f t="array" ref="P18">_xll.BDP($B18&amp;" Equity","bid")</f>
        <v>3.95</v>
      </c>
      <c r="Q18" s="122" cm="1">
        <f t="array" ref="Q18">_xll.BDP($B18&amp;" Equity","ask")</f>
        <v>4.25</v>
      </c>
      <c r="R18" s="523">
        <f t="shared" si="2"/>
        <v>7.5949367088607556E-2</v>
      </c>
      <c r="S18" s="122" cm="1">
        <f t="array" ref="S18">_xll.BDP(G18&amp;" Curncy","PX_LAST")</f>
        <v>1</v>
      </c>
      <c r="T18" s="512" cm="1">
        <f t="array" ref="T18">_xll.BDP(B18&amp;" Equity","OPT_MULTIPLIER")</f>
        <v>100</v>
      </c>
      <c r="U18" s="512">
        <f t="shared" si="3"/>
        <v>184499.99999999997</v>
      </c>
      <c r="V18" s="543">
        <f>U18/'Master P&amp;L'!$AD$7*10000</f>
        <v>0.7699806517342096</v>
      </c>
      <c r="W18" s="543">
        <f>(Y18*H18*T18/S18)/'Master P&amp;L'!$AD$7*10000</f>
        <v>0.7699806517342096</v>
      </c>
      <c r="X18" s="534">
        <f t="shared" si="4"/>
        <v>0</v>
      </c>
      <c r="Y18" s="542">
        <f t="shared" si="5"/>
        <v>4.0999999999999996</v>
      </c>
      <c r="Z18" s="533">
        <f>_xll.BDP(D18&amp;" Equity","LAST_PRICE")</f>
        <v>75.540000000000006</v>
      </c>
      <c r="AA18" s="533" cm="1">
        <f t="array" ref="AA18">_xll.BDP(B18&amp;" Equity","OPT_STRIKE_PX")</f>
        <v>70</v>
      </c>
      <c r="AB18" s="523">
        <f t="shared" si="6"/>
        <v>-7.3338628541170348E-2</v>
      </c>
      <c r="AC18" s="541" cm="1">
        <f t="array" ref="AC18">_xll.BDP($D18&amp;" Equity","volatility_10d")</f>
        <v>37.706205218826433</v>
      </c>
      <c r="AD18" s="533" cm="1">
        <f t="array" ref="AD18">_xll.BDP(B18&amp;" Equity","ivol_mid")</f>
        <v>64.406750000000002</v>
      </c>
      <c r="AE18" s="533">
        <f t="shared" si="7"/>
        <v>1.7081207092100104</v>
      </c>
      <c r="AF18" s="539" cm="1">
        <f t="array" ref="AF18">_xll.BDP(B18&amp;" Equity","DELTA_MID_RT")</f>
        <v>-0.32131803035736084</v>
      </c>
      <c r="AG18" s="406">
        <f>AL18/'Master P&amp;L'!$AE$7</f>
        <v>-4.5583538200024142E-4</v>
      </c>
      <c r="AH18" s="406">
        <f>AM18/'Master P&amp;L'!$AE$7</f>
        <v>-1.4186424007805415E-3</v>
      </c>
      <c r="AI18" s="532">
        <f>AO18/'Master P&amp;L'!$AD$7*10000</f>
        <v>-1.2611721740402397E-2</v>
      </c>
      <c r="AJ18" s="521">
        <f t="shared" si="8"/>
        <v>0.22543936397592126</v>
      </c>
      <c r="AK18" s="539">
        <f>AP18/'Master P&amp;L'!$AD$7*10000</f>
        <v>-0.13521611445088572</v>
      </c>
      <c r="AL18" s="512">
        <f t="shared" si="9"/>
        <v>-1092256.3805937769</v>
      </c>
      <c r="AM18" s="512">
        <f t="shared" si="10"/>
        <v>-3399300</v>
      </c>
      <c r="AN18" s="539" cm="1">
        <f t="array" ref="AN18">_xll.BDP($B18&amp;" Equity","theta_mid_rt")</f>
        <v>-6.7155010998249054E-2</v>
      </c>
      <c r="AO18" s="512">
        <f t="shared" si="11"/>
        <v>-3021.9754949212074</v>
      </c>
      <c r="AP18" s="512">
        <f t="shared" si="12"/>
        <v>-32400.000000000025</v>
      </c>
      <c r="AQ18" s="122" t="str" cm="1">
        <f t="array" ref="AQ18">_xll.BDP($D18&amp;" Equity","EXPECTED_REPORT_DT")</f>
        <v>05/03/2026</v>
      </c>
      <c r="AR18" s="530" cm="1">
        <f t="array" ref="AR18">_xll.BDP($B18&amp;" Equity","GAMMA_LAST")</f>
        <v>1.5962E-2</v>
      </c>
      <c r="AS18" s="378">
        <f t="shared" si="13"/>
        <v>40987.721933640009</v>
      </c>
      <c r="AT18" s="378">
        <f t="shared" si="14"/>
        <v>204938.60966820002</v>
      </c>
      <c r="AU18" s="378" t="s">
        <v>151</v>
      </c>
      <c r="AV18" s="362" cm="1">
        <f t="array" ref="AV18">_xll.BDP($D18&amp;" Equity","EST_PE_NXT_YR")*(AA18/Z18)</f>
        <v>19.528099203441791</v>
      </c>
      <c r="AX18" s="512"/>
      <c r="AY18" s="362">
        <v>4.0999999999999996</v>
      </c>
      <c r="AZ18" s="531"/>
      <c r="BA18" s="512">
        <f t="shared" si="15"/>
        <v>4.0999999999999996</v>
      </c>
      <c r="BB18" s="529">
        <f t="shared" si="16"/>
        <v>0</v>
      </c>
      <c r="BC18" s="529">
        <f t="shared" si="17"/>
        <v>-184499.99999999997</v>
      </c>
      <c r="BD18" s="529">
        <f>BC18/'Master P&amp;L'!$AD$7*10000</f>
        <v>-0.7699806517342096</v>
      </c>
    </row>
    <row r="19" spans="1:56" s="378" customFormat="1">
      <c r="A19" s="544" t="s">
        <v>1770</v>
      </c>
      <c r="B19" s="378" t="s">
        <v>2494</v>
      </c>
      <c r="C19" s="378" t="str" cm="1">
        <f t="array" ref="C19">_xll.BDP($B19&amp;" Equity","opt_put_call")</f>
        <v>Put</v>
      </c>
      <c r="D19" s="378" t="str" cm="1">
        <f t="array" ref="D19">_xll.BDP(B19&amp;" Equity","OPT_UNDL_TICKER")</f>
        <v>MRVL US</v>
      </c>
      <c r="E19" s="378" t="str" cm="1">
        <f t="array" ref="E19">_xll.BDP($B19&amp;" Equity","mifid_Maturity_date")</f>
        <v>20/03/2026</v>
      </c>
      <c r="F19" s="378" cm="1">
        <f t="array" ref="F19">_xll.BDP($B19&amp;" Equity","opt_days_expire")</f>
        <v>45</v>
      </c>
      <c r="G19" s="378" t="str" cm="1">
        <f t="array" ref="G19">_xll.BDP(B19&amp;" Equity","QUOTED_CURRENCY_REALTIME")</f>
        <v>USD</v>
      </c>
      <c r="H19" s="512">
        <v>-450</v>
      </c>
      <c r="I19" s="540">
        <v>1.66</v>
      </c>
      <c r="J19" s="122"/>
      <c r="K19" s="122">
        <v>1.66</v>
      </c>
      <c r="L19" s="122" cm="1">
        <f t="array" ref="L19">_xll.BDP($B19&amp;" Equity","mid")</f>
        <v>1.41</v>
      </c>
      <c r="M19" s="406">
        <f t="shared" si="0"/>
        <v>1.8665607625099282E-2</v>
      </c>
      <c r="N19" s="521"/>
      <c r="O19" s="406">
        <f t="shared" si="1"/>
        <v>-0.1506024096385542</v>
      </c>
      <c r="P19" s="122" cm="1">
        <f t="array" ref="P19">_xll.BDP($B19&amp;" Equity","bid")</f>
        <v>1.35</v>
      </c>
      <c r="Q19" s="122" cm="1">
        <f t="array" ref="Q19">_xll.BDP($B19&amp;" Equity","ask")</f>
        <v>1.46</v>
      </c>
      <c r="R19" s="523">
        <f t="shared" si="2"/>
        <v>8.1481481481481488E-2</v>
      </c>
      <c r="S19" s="122" cm="1">
        <f t="array" ref="S19">_xll.BDP(G19&amp;" Curncy","PX_LAST")</f>
        <v>1</v>
      </c>
      <c r="T19" s="512" cm="1">
        <f t="array" ref="T19">_xll.BDP(B19&amp;" Equity","OPT_MULTIPLIER")</f>
        <v>100</v>
      </c>
      <c r="U19" s="512">
        <f t="shared" si="3"/>
        <v>-63450</v>
      </c>
      <c r="V19" s="543">
        <f>U19/'Master P&amp;L'!$AD$7*10000</f>
        <v>-0.26479822413298432</v>
      </c>
      <c r="W19" s="543">
        <f>(Y19*H19*T19/S19)/'Master P&amp;L'!$AD$7*10000</f>
        <v>-0.26479822413298432</v>
      </c>
      <c r="X19" s="534">
        <f t="shared" si="4"/>
        <v>0</v>
      </c>
      <c r="Y19" s="542">
        <f t="shared" si="5"/>
        <v>1.41</v>
      </c>
      <c r="Z19" s="533">
        <f>_xll.BDP(D19&amp;" Equity","LAST_PRICE")</f>
        <v>75.540000000000006</v>
      </c>
      <c r="AA19" s="533" cm="1">
        <f t="array" ref="AA19">_xll.BDP(B19&amp;" Equity","OPT_STRIKE_PX")</f>
        <v>60</v>
      </c>
      <c r="AB19" s="523">
        <f t="shared" si="6"/>
        <v>-0.20571882446386025</v>
      </c>
      <c r="AC19" s="541" cm="1">
        <f t="array" ref="AC19">_xll.BDP($D19&amp;" Equity","volatility_10d")</f>
        <v>37.706205218826433</v>
      </c>
      <c r="AD19" s="533" cm="1">
        <f t="array" ref="AD19">_xll.BDP(B19&amp;" Equity","ivol_mid")</f>
        <v>68.041439999999994</v>
      </c>
      <c r="AE19" s="533">
        <f t="shared" si="7"/>
        <v>1.8045157184374363</v>
      </c>
      <c r="AF19" s="539" cm="1">
        <f t="array" ref="AF19">_xll.BDP(B19&amp;" Equity","DELTA_MID_RT")</f>
        <v>-0.13655282557010651</v>
      </c>
      <c r="AG19" s="406">
        <f>AL19/'Master P&amp;L'!$AE$7</f>
        <v>1.937196283001424E-4</v>
      </c>
      <c r="AH19" s="406">
        <f>AM19/'Master P&amp;L'!$AE$7</f>
        <v>1.4186424007805415E-3</v>
      </c>
      <c r="AI19" s="532">
        <f>AO19/'Master P&amp;L'!$AD$7*10000</f>
        <v>8.037561000985835E-3</v>
      </c>
      <c r="AJ19" s="521">
        <f t="shared" si="8"/>
        <v>-0.14367448610724751</v>
      </c>
      <c r="AK19" s="539">
        <f>AP19/'Master P&amp;L'!$AD$7*10000</f>
        <v>4.6950039739890835E-2</v>
      </c>
      <c r="AL19" s="512">
        <f t="shared" si="9"/>
        <v>464184.01996046305</v>
      </c>
      <c r="AM19" s="512">
        <f t="shared" si="10"/>
        <v>3399300</v>
      </c>
      <c r="AN19" s="539" cm="1">
        <f t="array" ref="AN19">_xll.BDP($B19&amp;" Equity","theta_mid_rt")</f>
        <v>-4.2798478156328201E-2</v>
      </c>
      <c r="AO19" s="512">
        <f t="shared" si="11"/>
        <v>1925.9315170347691</v>
      </c>
      <c r="AP19" s="512">
        <f t="shared" si="12"/>
        <v>11250</v>
      </c>
      <c r="AQ19" s="122" t="str" cm="1">
        <f t="array" ref="AQ19">_xll.BDP($D19&amp;" Equity","EXPECTED_REPORT_DT")</f>
        <v>05/03/2026</v>
      </c>
      <c r="AR19" s="530" cm="1">
        <f t="array" ref="AR19">_xll.BDP($B19&amp;" Equity","GAMMA_LAST")</f>
        <v>9.4330000000000004E-3</v>
      </c>
      <c r="AS19" s="378">
        <f t="shared" si="13"/>
        <v>-24222.351898260007</v>
      </c>
      <c r="AT19" s="378">
        <f t="shared" si="14"/>
        <v>-121111.75949130002</v>
      </c>
      <c r="AU19" s="378" t="s">
        <v>151</v>
      </c>
      <c r="AV19" s="362" cm="1">
        <f t="array" ref="AV19">_xll.BDP($D19&amp;" Equity","EST_PE_NXT_YR")*(AA19/Z19)</f>
        <v>16.738370745807252</v>
      </c>
      <c r="AX19" s="512"/>
      <c r="AY19" s="362">
        <v>1.41</v>
      </c>
      <c r="AZ19" s="531"/>
      <c r="BA19" s="512">
        <f t="shared" si="15"/>
        <v>1.41</v>
      </c>
      <c r="BB19" s="529">
        <f t="shared" si="16"/>
        <v>0</v>
      </c>
      <c r="BC19" s="529">
        <f t="shared" si="17"/>
        <v>63450</v>
      </c>
      <c r="BD19" s="529">
        <f>BC19/'Master P&amp;L'!$AD$7*10000</f>
        <v>0.26479822413298432</v>
      </c>
    </row>
    <row r="20" spans="1:56">
      <c r="A20" s="329"/>
      <c r="B20" s="72" t="s">
        <v>2445</v>
      </c>
      <c r="C20" s="72" t="str" cm="1">
        <f t="array" ref="C20">_xll.BDP($B20&amp;" Equity","opt_put_call")</f>
        <v>Call</v>
      </c>
      <c r="D20" s="72" t="str" cm="1">
        <f t="array" ref="D20">_xll.BDP(B20&amp;" Equity","OPT_UNDL_TICKER")</f>
        <v>AAPL US</v>
      </c>
      <c r="E20" s="72" t="str" cm="1">
        <f t="array" ref="E20">_xll.BDP($B20&amp;" Equity","mifid_Maturity_date")</f>
        <v>17/04/2026</v>
      </c>
      <c r="F20" s="72" cm="1">
        <f t="array" ref="F20">_xll.BDP($B20&amp;" Equity","opt_days_expire")</f>
        <v>73</v>
      </c>
      <c r="G20" s="72" t="str" cm="1">
        <f t="array" ref="G20">_xll.BDP(B20&amp;" Equity","QUOTED_CURRENCY_REALTIME")</f>
        <v>USD</v>
      </c>
      <c r="H20" s="41">
        <v>350</v>
      </c>
      <c r="I20" s="403">
        <v>9.99</v>
      </c>
      <c r="J20" s="14">
        <f>VLOOKUP(B20,Precificação!$B:$O,14,FALSE)</f>
        <v>18.024999999999999</v>
      </c>
      <c r="K20" s="14">
        <f t="shared" si="18"/>
        <v>18.024999999999999</v>
      </c>
      <c r="L20" s="73" cm="1">
        <f t="array" ref="L20">_xll.BDP($B20&amp;" Equity","mid")</f>
        <v>18.3</v>
      </c>
      <c r="M20" s="74">
        <f t="shared" si="0"/>
        <v>6.7908564643016173E-2</v>
      </c>
      <c r="N20" s="346"/>
      <c r="O20" s="74">
        <f t="shared" si="1"/>
        <v>1.5256588072122268E-2</v>
      </c>
      <c r="P20" s="73" cm="1">
        <f t="array" ref="P20">_xll.BDP($B20&amp;" Equity","bid")</f>
        <v>18.05</v>
      </c>
      <c r="Q20" s="73" cm="1">
        <f t="array" ref="Q20">_xll.BDP($B20&amp;" Equity","ask")</f>
        <v>18.55</v>
      </c>
      <c r="R20" s="75">
        <f t="shared" si="2"/>
        <v>2.7700831024930705E-2</v>
      </c>
      <c r="S20" s="35" cm="1">
        <f t="array" ref="S20">_xll.BDP(G20&amp;" Curncy","PX_LAST")</f>
        <v>1</v>
      </c>
      <c r="T20" s="41" cm="1">
        <f t="array" ref="T20">_xll.BDP(B20&amp;" Equity","OPT_MULTIPLIER")</f>
        <v>100</v>
      </c>
      <c r="U20" s="41">
        <f t="shared" si="3"/>
        <v>640500</v>
      </c>
      <c r="V20" s="112">
        <f>U20/'Master P&amp;L'!$AD$7*10000</f>
        <v>2.673022262524452</v>
      </c>
      <c r="W20" s="112">
        <f>(Y20*H20*T20/S20)/'Master P&amp;L'!$AD$7*10000</f>
        <v>1.2883090904626022</v>
      </c>
      <c r="X20" s="117">
        <f t="shared" si="4"/>
        <v>9.4800000000000182</v>
      </c>
      <c r="Y20" s="266">
        <f t="shared" si="5"/>
        <v>8.8199999999999825</v>
      </c>
      <c r="Z20" s="76">
        <f>_xll.BDP(D20&amp;" Equity","LAST_PRICE")</f>
        <v>269.48</v>
      </c>
      <c r="AA20" s="76" cm="1">
        <f t="array" ref="AA20">_xll.BDP(B20&amp;" Equity","OPT_STRIKE_PX")</f>
        <v>260</v>
      </c>
      <c r="AB20" s="75">
        <f t="shared" si="6"/>
        <v>-3.517886299539863E-2</v>
      </c>
      <c r="AC20" s="317" cm="1">
        <f t="array" ref="AC20">_xll.BDP($D20&amp;" Equity","volatility_10d")</f>
        <v>25.169150892112668</v>
      </c>
      <c r="AD20" s="76" cm="1">
        <f t="array" ref="AD20">_xll.BDP(B20&amp;" Equity","ivol_mid")</f>
        <v>25.66028</v>
      </c>
      <c r="AE20" s="76">
        <f t="shared" si="7"/>
        <v>1.0195131377293001</v>
      </c>
      <c r="AF20" s="77" cm="1">
        <f t="array" ref="AF20">_xll.BDP(B20&amp;" Equity","DELTA_MID_RT")</f>
        <v>0.66735959053039551</v>
      </c>
      <c r="AG20" s="74">
        <f>AL20/'Master P&amp;L'!$AE$7</f>
        <v>2.6268660690657157E-3</v>
      </c>
      <c r="AH20" s="74">
        <f>AM20/'Master P&amp;L'!$AE$7</f>
        <v>3.9362078650551323E-3</v>
      </c>
      <c r="AI20" s="421">
        <f>AO20/'Master P&amp;L'!$AD$7*10000</f>
        <v>-1.0763932350119325E-2</v>
      </c>
      <c r="AJ20" s="344">
        <f t="shared" si="8"/>
        <v>0.19240941981116996</v>
      </c>
      <c r="AK20" s="77">
        <f>AP20/'Master P&amp;L'!$AD$7*10000</f>
        <v>4.0168367333018026E-2</v>
      </c>
      <c r="AL20" s="41">
        <f t="shared" si="9"/>
        <v>6294402.1859645853</v>
      </c>
      <c r="AM20" s="41">
        <f t="shared" si="10"/>
        <v>9431800</v>
      </c>
      <c r="AN20" s="77" cm="1">
        <f t="array" ref="AN20">_xll.BDP($B20&amp;" Equity","theta_mid_rt")</f>
        <v>-7.3691852390766144E-2</v>
      </c>
      <c r="AO20" s="41">
        <f t="shared" si="11"/>
        <v>-2579.214833676815</v>
      </c>
      <c r="AP20" s="41">
        <f t="shared" si="12"/>
        <v>9625.0000000000746</v>
      </c>
      <c r="AQ20" s="73" t="str" cm="1">
        <f t="array" ref="AQ20">_xll.BDP($D20&amp;" Equity","EXPECTED_REPORT_DT")</f>
        <v>01/05/2026</v>
      </c>
      <c r="AR20" s="230" cm="1">
        <f t="array" ref="AR20">_xll.BDP($B20&amp;" Equity","GAMMA_LAST")</f>
        <v>3.1816999999999998E-2</v>
      </c>
      <c r="AS20" s="72">
        <f t="shared" si="13"/>
        <v>808686.79140088009</v>
      </c>
      <c r="AT20" s="72">
        <f t="shared" si="14"/>
        <v>4043433.9570044009</v>
      </c>
      <c r="AU20" s="72" t="s">
        <v>151</v>
      </c>
      <c r="AV20" s="316" cm="1">
        <f t="array" ref="AV20">_xll.BDP($D20&amp;" Equity","EST_PE_NXT_YR")*(AA20/Z20)</f>
        <v>27.994455076278161</v>
      </c>
      <c r="AW20" s="72"/>
      <c r="AX20" s="41"/>
      <c r="AY20" s="316">
        <v>18.3</v>
      </c>
      <c r="AZ20" s="348"/>
      <c r="BA20" s="41">
        <f t="shared" si="15"/>
        <v>18.3</v>
      </c>
      <c r="BB20" s="340">
        <f t="shared" si="16"/>
        <v>18.024999999999999</v>
      </c>
      <c r="BC20" s="340">
        <f t="shared" si="17"/>
        <v>-9625.0000000000746</v>
      </c>
      <c r="BD20" s="340">
        <f>BC20/'Master P&amp;L'!$AD$7*10000</f>
        <v>-4.0168367333018026E-2</v>
      </c>
    </row>
    <row r="21" spans="1:56" s="58" customFormat="1">
      <c r="A21" s="350"/>
      <c r="B21" t="s">
        <v>2446</v>
      </c>
      <c r="C21" t="str" cm="1">
        <f t="array" ref="C21">_xll.BDP($B21&amp;" Equity","opt_put_call")</f>
        <v>Call</v>
      </c>
      <c r="D21" t="str" cm="1">
        <f t="array" ref="D21">_xll.BDP(B21&amp;" Equity","OPT_UNDL_TICKER")</f>
        <v>AAPL US</v>
      </c>
      <c r="E21" t="str" cm="1">
        <f t="array" ref="E21">_xll.BDP($B21&amp;" Equity","mifid_Maturity_date")</f>
        <v>17/04/2026</v>
      </c>
      <c r="F21" cm="1">
        <f t="array" ref="F21">_xll.BDP($B21&amp;" Equity","opt_days_expire")</f>
        <v>73</v>
      </c>
      <c r="G21" t="str" cm="1">
        <f t="array" ref="G21">_xll.BDP(B21&amp;" Equity","QUOTED_CURRENCY_REALTIME")</f>
        <v>USD</v>
      </c>
      <c r="H21" s="15">
        <v>-350</v>
      </c>
      <c r="I21" s="404">
        <v>3.3</v>
      </c>
      <c r="J21" s="14">
        <f>VLOOKUP(B21,Precificação!$B:$O,14,FALSE)</f>
        <v>7.2750000000000004</v>
      </c>
      <c r="K21" s="14">
        <f t="shared" si="18"/>
        <v>7.2750000000000004</v>
      </c>
      <c r="L21" s="73" cm="1">
        <f t="array" ref="L21">_xll.BDP($B21&amp;" Equity","mid")</f>
        <v>7.45</v>
      </c>
      <c r="M21" s="18">
        <f t="shared" si="0"/>
        <v>2.764583642570877E-2</v>
      </c>
      <c r="N21" s="344"/>
      <c r="O21" s="18">
        <f t="shared" si="1"/>
        <v>2.405498281786933E-2</v>
      </c>
      <c r="P21" s="35" cm="1">
        <f t="array" ref="P21">_xll.BDP($B21&amp;" Equity","bid")</f>
        <v>7.4</v>
      </c>
      <c r="Q21" s="35" cm="1">
        <f t="array" ref="Q21">_xll.BDP($B21&amp;" Equity","ask")</f>
        <v>7.5</v>
      </c>
      <c r="R21" s="39">
        <f t="shared" si="2"/>
        <v>1.3513513513513375E-2</v>
      </c>
      <c r="S21" s="35" cm="1">
        <f t="array" ref="S21">_xll.BDP(G21&amp;" Curncy","PX_LAST")</f>
        <v>1</v>
      </c>
      <c r="T21" s="15" cm="1">
        <f t="array" ref="T21">_xll.BDP(B21&amp;" Equity","OPT_MULTIPLIER")</f>
        <v>100</v>
      </c>
      <c r="U21" s="15">
        <f t="shared" si="3"/>
        <v>-260750</v>
      </c>
      <c r="V21" s="123">
        <f>U21/'Master P&amp;L'!$AD$7*10000</f>
        <v>-1.0881975877490255</v>
      </c>
      <c r="W21" s="123">
        <f>(Y21*H21*T21/S21)/'Master P&amp;L'!$AD$7*10000</f>
        <v>-1.0881975877490255</v>
      </c>
      <c r="X21" s="407">
        <f t="shared" si="4"/>
        <v>0</v>
      </c>
      <c r="Y21" s="267">
        <f t="shared" si="5"/>
        <v>7.45</v>
      </c>
      <c r="Z21" s="36">
        <f>_xll.BDP(D21&amp;" Equity","LAST_PRICE")</f>
        <v>269.48</v>
      </c>
      <c r="AA21" s="36" cm="1">
        <f t="array" ref="AA21">_xll.BDP(B21&amp;" Equity","OPT_STRIKE_PX")</f>
        <v>280</v>
      </c>
      <c r="AB21" s="39">
        <f t="shared" si="6"/>
        <v>3.9038147543416946E-2</v>
      </c>
      <c r="AC21" s="318" cm="1">
        <f t="array" ref="AC21">_xll.BDP($D21&amp;" Equity","volatility_10d")</f>
        <v>25.169150892112668</v>
      </c>
      <c r="AD21" s="36" cm="1">
        <f t="array" ref="AD21">_xll.BDP(B21&amp;" Equity","ivol_mid")</f>
        <v>23.274760000000001</v>
      </c>
      <c r="AE21" s="36">
        <f t="shared" si="7"/>
        <v>0.9247336193329303</v>
      </c>
      <c r="AF21" s="37" cm="1">
        <f t="array" ref="AF21">_xll.BDP(B21&amp;" Equity","DELTA_MID_RT")</f>
        <v>0.39976739883422852</v>
      </c>
      <c r="AG21" s="18">
        <f>AL21/'Master P&amp;L'!$AE$7</f>
        <v>-1.5735675794839223E-3</v>
      </c>
      <c r="AH21" s="18">
        <f>AM21/'Master P&amp;L'!$AE$7</f>
        <v>-3.9362078650551323E-3</v>
      </c>
      <c r="AI21" s="420">
        <f>AO21/'Master P&amp;L'!$AD$7*10000</f>
        <v>1.0594029702818293E-2</v>
      </c>
      <c r="AJ21" s="344">
        <f t="shared" si="8"/>
        <v>-0.18937234481587692</v>
      </c>
      <c r="AK21" s="37">
        <f>AP21/'Master P&amp;L'!$AD$7*10000</f>
        <v>-2.5561688302829427E-2</v>
      </c>
      <c r="AL21" s="15">
        <f t="shared" si="9"/>
        <v>-3770526.1523246765</v>
      </c>
      <c r="AM21" s="15">
        <f t="shared" si="10"/>
        <v>-9431800</v>
      </c>
      <c r="AN21" s="37" cm="1">
        <f t="array" ref="AN21">_xll.BDP($B21&amp;" Equity","theta_mid_rt")</f>
        <v>-7.2528667747974396E-2</v>
      </c>
      <c r="AO21" s="15">
        <f t="shared" si="11"/>
        <v>2538.5033711791039</v>
      </c>
      <c r="AP21" s="15">
        <f t="shared" si="12"/>
        <v>-6124.9999999999936</v>
      </c>
      <c r="AQ21" s="35" t="str" cm="1">
        <f t="array" ref="AQ21">_xll.BDP($D21&amp;" Equity","EXPECTED_REPORT_DT")</f>
        <v>01/05/2026</v>
      </c>
      <c r="AR21" s="65" cm="1">
        <f t="array" ref="AR21">_xll.BDP($B21&amp;" Equity","GAMMA_LAST")</f>
        <v>3.6844000000000002E-2</v>
      </c>
      <c r="AS21">
        <f t="shared" si="13"/>
        <v>-936457.1185961602</v>
      </c>
      <c r="AT21">
        <f t="shared" si="14"/>
        <v>-4682285.5929808011</v>
      </c>
      <c r="AU21" t="s">
        <v>151</v>
      </c>
      <c r="AV21" s="271" cm="1">
        <f t="array" ref="AV21">_xll.BDP($D21&amp;" Equity","EST_PE_NXT_YR")*(AA21/Z21)</f>
        <v>30.14787469753033</v>
      </c>
      <c r="AW21"/>
      <c r="AX21" s="15"/>
      <c r="AY21" s="271">
        <v>7.45</v>
      </c>
      <c r="AZ21" s="349"/>
      <c r="BA21" s="15">
        <f t="shared" si="15"/>
        <v>7.45</v>
      </c>
      <c r="BB21" s="408">
        <f t="shared" si="16"/>
        <v>7.2750000000000004</v>
      </c>
      <c r="BC21" s="408">
        <f t="shared" si="17"/>
        <v>6124.9999999999936</v>
      </c>
      <c r="BD21" s="408">
        <f>BC21/'Master P&amp;L'!$AD$7*10000</f>
        <v>2.5561688302829427E-2</v>
      </c>
    </row>
    <row r="22" spans="1:56" s="58" customFormat="1">
      <c r="A22" s="490" t="s">
        <v>1770</v>
      </c>
      <c r="B22" s="58" t="s">
        <v>2471</v>
      </c>
      <c r="C22" s="58" t="str" cm="1">
        <f t="array" ref="C22">_xll.BDP($B22&amp;" Equity","opt_put_call")</f>
        <v>Put</v>
      </c>
      <c r="D22" s="58" t="str" cm="1">
        <f t="array" ref="D22">_xll.BDP(B22&amp;" Equity","OPT_UNDL_TICKER")</f>
        <v>QQQ US</v>
      </c>
      <c r="E22" s="58" t="str" cm="1">
        <f t="array" ref="E22">_xll.BDP($B22&amp;" Equity","mifid_Maturity_date")</f>
        <v>06/02/2026</v>
      </c>
      <c r="F22" s="58" cm="1">
        <f t="array" ref="F22">_xll.BDP($B22&amp;" Equity","opt_days_expire")</f>
        <v>3</v>
      </c>
      <c r="G22" s="58" t="str" cm="1">
        <f t="array" ref="G22">_xll.BDP(B22&amp;" Equity","QUOTED_CURRENCY_REALTIME")</f>
        <v>USD</v>
      </c>
      <c r="H22" s="398">
        <v>230</v>
      </c>
      <c r="I22" s="405">
        <v>2.77</v>
      </c>
      <c r="J22" s="14">
        <f>VLOOKUP(B22,Precificação!$B:$O,14,FALSE)</f>
        <v>2.76</v>
      </c>
      <c r="K22" s="14">
        <f t="shared" si="18"/>
        <v>2.76</v>
      </c>
      <c r="L22" s="14">
        <v>8.4600000000000009</v>
      </c>
      <c r="M22" s="127">
        <f t="shared" si="0"/>
        <v>1.3722182573152535E-2</v>
      </c>
      <c r="N22" s="418"/>
      <c r="O22" s="127">
        <f t="shared" si="1"/>
        <v>2.0652173913043486</v>
      </c>
      <c r="P22" s="14" cm="1">
        <f t="array" ref="P22">_xll.BDP($B22&amp;" Equity","bid")</f>
        <v>6.5</v>
      </c>
      <c r="Q22" s="14" cm="1">
        <f t="array" ref="Q22">_xll.BDP($B22&amp;" Equity","ask")</f>
        <v>8.5399999999999991</v>
      </c>
      <c r="R22" s="417">
        <f t="shared" si="2"/>
        <v>0.31384615384615366</v>
      </c>
      <c r="S22" s="14" cm="1">
        <f t="array" ref="S22">_xll.BDP(G22&amp;" Curncy","PX_LAST")</f>
        <v>1</v>
      </c>
      <c r="T22" s="398" cm="1">
        <f t="array" ref="T22">_xll.BDP(B22&amp;" Equity","OPT_MULTIPLIER")</f>
        <v>100</v>
      </c>
      <c r="U22" s="398">
        <f t="shared" si="3"/>
        <v>194580.00000000003</v>
      </c>
      <c r="V22" s="491">
        <f>U22/'Master P&amp;L'!$AD$7*10000</f>
        <v>0.81204788734115196</v>
      </c>
      <c r="W22" s="491">
        <f>(Y22*H22*T22/S22)/'Master P&amp;L'!$AD$7*10000</f>
        <v>0.47801400460507359</v>
      </c>
      <c r="X22" s="492">
        <f t="shared" si="4"/>
        <v>3.4800000000000182</v>
      </c>
      <c r="Y22" s="493">
        <f t="shared" si="5"/>
        <v>4.9799999999999827</v>
      </c>
      <c r="Z22" s="494">
        <f>_xll.BDP(D22&amp;" Equity","LAST_PRICE")</f>
        <v>616.52</v>
      </c>
      <c r="AA22" s="494" cm="1">
        <f t="array" ref="AA22">_xll.BDP(B22&amp;" Equity","OPT_STRIKE_PX")</f>
        <v>620</v>
      </c>
      <c r="AB22" s="417">
        <f t="shared" si="6"/>
        <v>5.6445857393110366E-3</v>
      </c>
      <c r="AC22" s="419" cm="1">
        <f t="array" ref="AC22">_xll.BDP($D22&amp;" Equity","volatility_10d")</f>
        <v>14.80309399910594</v>
      </c>
      <c r="AD22" s="494" cm="1">
        <f t="array" ref="AD22">_xll.BDP(B22&amp;" Equity","ivol_mid")</f>
        <v>20.998699999999999</v>
      </c>
      <c r="AE22" s="494">
        <f t="shared" si="7"/>
        <v>1.4185345307723003</v>
      </c>
      <c r="AF22" s="495"/>
      <c r="AG22" s="127"/>
      <c r="AH22" s="127"/>
      <c r="AI22" s="496"/>
      <c r="AJ22" s="418">
        <f t="shared" si="8"/>
        <v>0</v>
      </c>
      <c r="AK22" s="495">
        <f>AP22/'Master P&amp;L'!$AD$7*10000</f>
        <v>0.54712446310219465</v>
      </c>
      <c r="AL22" s="398">
        <f t="shared" si="9"/>
        <v>0</v>
      </c>
      <c r="AM22" s="398">
        <f t="shared" si="10"/>
        <v>-14179960</v>
      </c>
      <c r="AN22" s="495" cm="1">
        <f t="array" ref="AN22">_xll.BDP($B22&amp;" Equity","theta_mid_rt")</f>
        <v>-0.68120878934860229</v>
      </c>
      <c r="AO22" s="398">
        <f t="shared" si="11"/>
        <v>-15667.802155017853</v>
      </c>
      <c r="AP22" s="398">
        <f t="shared" si="12"/>
        <v>131100.00000000003</v>
      </c>
      <c r="AQ22" s="14" t="str" cm="1">
        <f t="array" ref="AQ22">_xll.BDP($D22&amp;" Equity","EXPECTED_REPORT_DT")</f>
        <v>#N/A N/A</v>
      </c>
      <c r="AR22" s="113" cm="1">
        <f t="array" ref="AR22">_xll.BDP($B22&amp;" Equity","GAMMA_LAST")</f>
        <v>0.16827</v>
      </c>
      <c r="AS22" s="58">
        <f t="shared" si="13"/>
        <v>14710548.635991838</v>
      </c>
      <c r="AT22" s="58">
        <f t="shared" si="14"/>
        <v>73552743.179959193</v>
      </c>
      <c r="AU22" s="58" t="s">
        <v>151</v>
      </c>
      <c r="AV22" s="331" t="e" cm="1">
        <f t="array" ref="AV22">_xll.BDP($D22&amp;" Equity","EST_PE_NXT_YR")*(AA22/Z22)</f>
        <v>#VALUE!</v>
      </c>
      <c r="AX22" s="398"/>
      <c r="AY22" s="331">
        <v>8.4600000000000009</v>
      </c>
      <c r="AZ22" s="497"/>
      <c r="BA22" s="398">
        <f t="shared" si="15"/>
        <v>8.4600000000000009</v>
      </c>
      <c r="BB22" s="498">
        <f t="shared" si="16"/>
        <v>2.76</v>
      </c>
      <c r="BC22" s="498">
        <f t="shared" si="17"/>
        <v>-131100.00000000003</v>
      </c>
      <c r="BD22" s="498">
        <f>BC22/'Master P&amp;L'!$AD$7*10000</f>
        <v>-0.54712446310219465</v>
      </c>
    </row>
    <row r="23" spans="1:56" s="58" customFormat="1">
      <c r="A23" s="490" t="s">
        <v>1770</v>
      </c>
      <c r="B23" s="58" t="s">
        <v>2472</v>
      </c>
      <c r="C23" s="58" t="str" cm="1">
        <f t="array" ref="C23">_xll.BDP($B23&amp;" Equity","opt_put_call")</f>
        <v>Put</v>
      </c>
      <c r="D23" s="58" t="str" cm="1">
        <f t="array" ref="D23">_xll.BDP(B23&amp;" Equity","OPT_UNDL_TICKER")</f>
        <v>QQQ US</v>
      </c>
      <c r="E23" s="58" t="str" cm="1">
        <f t="array" ref="E23">_xll.BDP($B23&amp;" Equity","mifid_Maturity_date")</f>
        <v>06/02/2026</v>
      </c>
      <c r="F23" s="58" cm="1">
        <f t="array" ref="F23">_xll.BDP($B23&amp;" Equity","opt_days_expire")</f>
        <v>3</v>
      </c>
      <c r="G23" s="58" t="str" cm="1">
        <f t="array" ref="G23">_xll.BDP(B23&amp;" Equity","QUOTED_CURRENCY_REALTIME")</f>
        <v>USD</v>
      </c>
      <c r="H23" s="398">
        <v>-230</v>
      </c>
      <c r="I23" s="405">
        <v>1.79</v>
      </c>
      <c r="J23" s="14">
        <f>VLOOKUP(B23,Precificação!$B:$O,14,FALSE)</f>
        <v>1.78</v>
      </c>
      <c r="K23" s="14">
        <f t="shared" si="18"/>
        <v>1.78</v>
      </c>
      <c r="L23" s="14">
        <v>6.06</v>
      </c>
      <c r="M23" s="127">
        <f t="shared" si="0"/>
        <v>9.829364821903587E-3</v>
      </c>
      <c r="N23" s="418"/>
      <c r="O23" s="127">
        <f t="shared" si="1"/>
        <v>2.4044943820224716</v>
      </c>
      <c r="P23" s="14" cm="1">
        <f t="array" ref="P23">_xll.BDP($B23&amp;" Equity","bid")</f>
        <v>4.87</v>
      </c>
      <c r="Q23" s="14" cm="1">
        <f t="array" ref="Q23">_xll.BDP($B23&amp;" Equity","ask")</f>
        <v>5.36</v>
      </c>
      <c r="R23" s="417">
        <f t="shared" si="2"/>
        <v>0.10061601642710483</v>
      </c>
      <c r="S23" s="14" cm="1">
        <f t="array" ref="S23">_xll.BDP(G23&amp;" Curncy","PX_LAST")</f>
        <v>1</v>
      </c>
      <c r="T23" s="398" cm="1">
        <f t="array" ref="T23">_xll.BDP(B23&amp;" Equity","OPT_MULTIPLIER")</f>
        <v>100</v>
      </c>
      <c r="U23" s="398">
        <f t="shared" si="3"/>
        <v>-139380</v>
      </c>
      <c r="V23" s="491">
        <f>U23/'Master P&amp;L'!$AD$7*10000</f>
        <v>-0.58167969235075423</v>
      </c>
      <c r="W23" s="491">
        <f>(Y23*H23*T23/S23)/'Master P&amp;L'!$AD$7*10000</f>
        <v>-0.58167969235075423</v>
      </c>
      <c r="X23" s="492">
        <f t="shared" si="4"/>
        <v>0</v>
      </c>
      <c r="Y23" s="493">
        <f t="shared" si="5"/>
        <v>6.06</v>
      </c>
      <c r="Z23" s="494">
        <f>_xll.BDP(D23&amp;" Equity","LAST_PRICE")</f>
        <v>616.52</v>
      </c>
      <c r="AA23" s="494" cm="1">
        <f t="array" ref="AA23">_xll.BDP(B23&amp;" Equity","OPT_STRIKE_PX")</f>
        <v>615</v>
      </c>
      <c r="AB23" s="417">
        <f t="shared" si="6"/>
        <v>-2.4654512424576724E-3</v>
      </c>
      <c r="AC23" s="419" cm="1">
        <f t="array" ref="AC23">_xll.BDP($D23&amp;" Equity","volatility_10d")</f>
        <v>14.80309399910594</v>
      </c>
      <c r="AD23" s="494" cm="1">
        <f t="array" ref="AD23">_xll.BDP(B23&amp;" Equity","ivol_mid")</f>
        <v>22.132960000000001</v>
      </c>
      <c r="AE23" s="494">
        <f t="shared" si="7"/>
        <v>1.4951577015816262</v>
      </c>
      <c r="AF23" s="495"/>
      <c r="AG23" s="127"/>
      <c r="AH23" s="127"/>
      <c r="AI23" s="496"/>
      <c r="AJ23" s="418">
        <f t="shared" si="8"/>
        <v>0</v>
      </c>
      <c r="AK23" s="495">
        <f>AP23/'Master P&amp;L'!$AD$7*10000</f>
        <v>-0.41082328106620919</v>
      </c>
      <c r="AL23" s="398">
        <f t="shared" si="9"/>
        <v>0</v>
      </c>
      <c r="AM23" s="398">
        <f t="shared" si="10"/>
        <v>14179960</v>
      </c>
      <c r="AN23" s="495" cm="1">
        <f t="array" ref="AN23">_xll.BDP($B23&amp;" Equity","theta_mid_rt")</f>
        <v>-0.72137463092803955</v>
      </c>
      <c r="AO23" s="398">
        <f t="shared" si="11"/>
        <v>16591.61651134491</v>
      </c>
      <c r="AP23" s="398">
        <f t="shared" si="12"/>
        <v>-98439.999999999985</v>
      </c>
      <c r="AQ23" s="14" t="str" cm="1">
        <f t="array" ref="AQ23">_xll.BDP($D23&amp;" Equity","EXPECTED_REPORT_DT")</f>
        <v>#N/A N/A</v>
      </c>
      <c r="AR23" s="113" cm="1">
        <f t="array" ref="AR23">_xll.BDP($B23&amp;" Equity","GAMMA_LAST")</f>
        <v>0.16459699999999999</v>
      </c>
      <c r="AS23" s="58">
        <f t="shared" si="13"/>
        <v>-14389446.567055024</v>
      </c>
      <c r="AT23" s="58">
        <f t="shared" si="14"/>
        <v>-71947232.835275114</v>
      </c>
      <c r="AU23" s="58" t="s">
        <v>151</v>
      </c>
      <c r="AV23" s="331" t="e" cm="1">
        <f t="array" ref="AV23">_xll.BDP($D23&amp;" Equity","EST_PE_NXT_YR")*(AA23/Z23)</f>
        <v>#VALUE!</v>
      </c>
      <c r="AX23" s="398"/>
      <c r="AY23" s="331">
        <v>6.06</v>
      </c>
      <c r="AZ23" s="497"/>
      <c r="BA23" s="398">
        <f t="shared" si="15"/>
        <v>6.06</v>
      </c>
      <c r="BB23" s="498">
        <f t="shared" si="16"/>
        <v>1.78</v>
      </c>
      <c r="BC23" s="498">
        <f t="shared" si="17"/>
        <v>98439.999999999985</v>
      </c>
      <c r="BD23" s="498">
        <f>BC23/'Master P&amp;L'!$AD$7*10000</f>
        <v>0.41082328106620919</v>
      </c>
    </row>
    <row r="24" spans="1:56">
      <c r="A24" s="329"/>
      <c r="B24" s="72" t="s">
        <v>2325</v>
      </c>
      <c r="C24" s="72" t="str" cm="1">
        <f t="array" ref="C24">_xll.BDP($B24&amp;" Equity","opt_put_call")</f>
        <v>Call</v>
      </c>
      <c r="D24" s="72" t="str" cm="1">
        <f t="array" ref="D24">_xll.BDP(B24&amp;" Equity","OPT_UNDL_TICKER")</f>
        <v>INTC US</v>
      </c>
      <c r="E24" s="72" t="str" cm="1">
        <f t="array" ref="E24">_xll.BDP($B24&amp;" Equity","mifid_Maturity_date")</f>
        <v>17/07/2026</v>
      </c>
      <c r="F24" s="72" cm="1">
        <f t="array" ref="F24">_xll.BDP($B24&amp;" Equity","opt_days_expire")</f>
        <v>164</v>
      </c>
      <c r="G24" s="72" t="str" cm="1">
        <f t="array" ref="G24">_xll.BDP(B24&amp;" Equity","QUOTED_CURRENCY_REALTIME")</f>
        <v>USD</v>
      </c>
      <c r="H24" s="41">
        <v>-150</v>
      </c>
      <c r="I24" s="403">
        <v>3.7</v>
      </c>
      <c r="J24" s="14">
        <f>VLOOKUP(B24,Precificação!$B:$O,14,FALSE)</f>
        <v>4.7249999999999996</v>
      </c>
      <c r="K24" s="14">
        <f t="shared" si="18"/>
        <v>4.7249999999999996</v>
      </c>
      <c r="L24" s="73" cm="1">
        <f t="array" ref="L24">_xll.BDP($B24&amp;" Equity","mid")</f>
        <v>5.15</v>
      </c>
      <c r="M24" s="74">
        <f t="shared" si="0"/>
        <v>0.10456852791878174</v>
      </c>
      <c r="N24" s="346"/>
      <c r="O24" s="74">
        <f t="shared" si="1"/>
        <v>8.9947089947089998E-2</v>
      </c>
      <c r="P24" s="73" cm="1">
        <f t="array" ref="P24">_xll.BDP($B24&amp;" Equity","bid")</f>
        <v>4.95</v>
      </c>
      <c r="Q24" s="73" cm="1">
        <f t="array" ref="Q24">_xll.BDP($B24&amp;" Equity","ask")</f>
        <v>5.35</v>
      </c>
      <c r="R24" s="75">
        <f t="shared" si="2"/>
        <v>8.0808080808080662E-2</v>
      </c>
      <c r="S24" s="35" cm="1">
        <f t="array" ref="S24">_xll.BDP(G24&amp;" Curncy","PX_LAST")</f>
        <v>1</v>
      </c>
      <c r="T24" s="41" cm="1">
        <f t="array" ref="T24">_xll.BDP(B24&amp;" Equity","OPT_MULTIPLIER")</f>
        <v>100</v>
      </c>
      <c r="U24" s="41">
        <f t="shared" si="3"/>
        <v>-77250</v>
      </c>
      <c r="V24" s="112">
        <f>U24/'Master P&amp;L'!$AD$7*10000</f>
        <v>-0.32239027288058375</v>
      </c>
      <c r="W24" s="112">
        <f>(Y24*H24*T24/S24)/'Master P&amp;L'!$AD$7*10000</f>
        <v>-0.32239027288058375</v>
      </c>
      <c r="X24" s="117">
        <f t="shared" si="4"/>
        <v>0</v>
      </c>
      <c r="Y24" s="266">
        <f t="shared" si="5"/>
        <v>5.15</v>
      </c>
      <c r="Z24" s="76">
        <f>_xll.BDP(D24&amp;" Equity","LAST_PRICE")</f>
        <v>49.25</v>
      </c>
      <c r="AA24" s="76" cm="1">
        <f t="array" ref="AA24">_xll.BDP(B24&amp;" Equity","OPT_STRIKE_PX")</f>
        <v>60</v>
      </c>
      <c r="AB24" s="75">
        <f t="shared" si="6"/>
        <v>0.218274111675127</v>
      </c>
      <c r="AC24" s="317" cm="1">
        <f t="array" ref="AC24">_xll.BDP($D24&amp;" Equity","volatility_10d")</f>
        <v>132.39479020961983</v>
      </c>
      <c r="AD24" s="76" cm="1">
        <f t="array" ref="AD24">_xll.BDP(B24&amp;" Equity","ivol_mid")</f>
        <v>63.420490000000001</v>
      </c>
      <c r="AE24" s="76">
        <f t="shared" si="7"/>
        <v>0.47902557116927896</v>
      </c>
      <c r="AF24" s="77" cm="1">
        <f t="array" ref="AF24">_xll.BDP(B24&amp;" Equity","DELTA_MID_RT")</f>
        <v>0.41837182641029358</v>
      </c>
      <c r="AG24" s="74">
        <f>AL24/'Master P&amp;L'!$AE$7</f>
        <v>-1.2898623511915856E-4</v>
      </c>
      <c r="AH24" s="74">
        <f>AM24/'Master P&amp;L'!$AE$7</f>
        <v>-3.0830526095861652E-4</v>
      </c>
      <c r="AI24" s="421">
        <f>AO24/'Master P&amp;L'!$AD$7*10000</f>
        <v>1.5747705869608151E-3</v>
      </c>
      <c r="AJ24" s="344">
        <f t="shared" si="8"/>
        <v>-2.8149628325141514E-2</v>
      </c>
      <c r="AK24" s="77">
        <f>AP24/'Master P&amp;L'!$AD$7*10000</f>
        <v>-2.6605022519271521E-2</v>
      </c>
      <c r="AL24" s="41">
        <f t="shared" si="9"/>
        <v>-309072.18676060438</v>
      </c>
      <c r="AM24" s="41">
        <f t="shared" si="10"/>
        <v>-738750</v>
      </c>
      <c r="AN24" s="77" cm="1">
        <f t="array" ref="AN24">_xll.BDP($B24&amp;" Equity","theta_mid_rt")</f>
        <v>-2.5156058371067047E-2</v>
      </c>
      <c r="AO24" s="41">
        <f t="shared" si="11"/>
        <v>377.34087556600571</v>
      </c>
      <c r="AP24" s="41">
        <f t="shared" si="12"/>
        <v>-6375.0000000000109</v>
      </c>
      <c r="AQ24" s="73" t="str" cm="1">
        <f t="array" ref="AQ24">_xll.BDP($D24&amp;" Equity","EXPECTED_REPORT_DT")</f>
        <v>24/04/2026</v>
      </c>
      <c r="AR24" s="230" cm="1">
        <f t="array" ref="AR24">_xll.BDP($B24&amp;" Equity","GAMMA_LAST")</f>
        <v>9.1739999999999999E-3</v>
      </c>
      <c r="AS24" s="72">
        <f t="shared" si="13"/>
        <v>-3337.8165562500003</v>
      </c>
      <c r="AT24" s="72">
        <f t="shared" si="14"/>
        <v>-16689.082781249999</v>
      </c>
      <c r="AU24" s="72" t="s">
        <v>151</v>
      </c>
      <c r="AV24" s="316" cm="1">
        <f t="array" ref="AV24">_xll.BDP($D24&amp;" Equity","EST_PE_NXT_YR")*(AA24/Z24)</f>
        <v>59.542540497906856</v>
      </c>
      <c r="AW24" s="72"/>
      <c r="AX24" s="41"/>
      <c r="AY24" s="316">
        <v>5.15</v>
      </c>
      <c r="AZ24" s="348"/>
      <c r="BA24" s="41">
        <f t="shared" si="15"/>
        <v>5.15</v>
      </c>
      <c r="BB24" s="340">
        <f t="shared" si="16"/>
        <v>4.7249999999999996</v>
      </c>
      <c r="BC24" s="340">
        <f t="shared" si="17"/>
        <v>6375.0000000000109</v>
      </c>
      <c r="BD24" s="340">
        <f>BC24/'Master P&amp;L'!$AD$7*10000</f>
        <v>2.6605022519271521E-2</v>
      </c>
    </row>
    <row r="25" spans="1:56" s="58" customFormat="1">
      <c r="A25" s="350"/>
      <c r="B25" t="s">
        <v>2324</v>
      </c>
      <c r="C25" t="str" cm="1">
        <f t="array" ref="C25">_xll.BDP($B25&amp;" Equity","opt_put_call")</f>
        <v>Call</v>
      </c>
      <c r="D25" t="str" cm="1">
        <f t="array" ref="D25">_xll.BDP(B25&amp;" Equity","OPT_UNDL_TICKER")</f>
        <v>INTC US</v>
      </c>
      <c r="E25" t="str" cm="1">
        <f t="array" ref="E25">_xll.BDP($B25&amp;" Equity","mifid_Maturity_date")</f>
        <v>17/07/2026</v>
      </c>
      <c r="F25" cm="1">
        <f t="array" ref="F25">_xll.BDP($B25&amp;" Equity","opt_days_expire")</f>
        <v>164</v>
      </c>
      <c r="G25" t="str" cm="1">
        <f t="array" ref="G25">_xll.BDP(B25&amp;" Equity","QUOTED_CURRENCY_REALTIME")</f>
        <v>USD</v>
      </c>
      <c r="H25" s="15">
        <v>275</v>
      </c>
      <c r="I25" s="404">
        <v>6.6</v>
      </c>
      <c r="J25" s="14">
        <f>VLOOKUP(B25,Precificação!$B:$O,14,FALSE)</f>
        <v>7.7750000000000004</v>
      </c>
      <c r="K25" s="14">
        <f t="shared" si="18"/>
        <v>7.7750000000000004</v>
      </c>
      <c r="L25" s="73" cm="1">
        <f t="array" ref="L25">_xll.BDP($B25&amp;" Equity","mid")</f>
        <v>8.1999999999999993</v>
      </c>
      <c r="M25" s="18">
        <f t="shared" si="0"/>
        <v>0.166497461928934</v>
      </c>
      <c r="N25" s="344"/>
      <c r="O25" s="18">
        <f t="shared" si="1"/>
        <v>5.4662379421221763E-2</v>
      </c>
      <c r="P25" s="35" cm="1">
        <f t="array" ref="P25">_xll.BDP($B25&amp;" Equity","bid")</f>
        <v>8</v>
      </c>
      <c r="Q25" s="35" cm="1">
        <f t="array" ref="Q25">_xll.BDP($B25&amp;" Equity","ask")</f>
        <v>8.4</v>
      </c>
      <c r="R25" s="39">
        <f t="shared" si="2"/>
        <v>5.0000000000000044E-2</v>
      </c>
      <c r="S25" s="35" cm="1">
        <f t="array" ref="S25">_xll.BDP(G25&amp;" Curncy","PX_LAST")</f>
        <v>1</v>
      </c>
      <c r="T25" s="15" cm="1">
        <f t="array" ref="T25">_xll.BDP(B25&amp;" Equity","OPT_MULTIPLIER")</f>
        <v>100</v>
      </c>
      <c r="U25" s="15">
        <f t="shared" si="3"/>
        <v>225500</v>
      </c>
      <c r="V25" s="123">
        <f>U25/'Master P&amp;L'!$AD$7*10000</f>
        <v>0.9410874632307008</v>
      </c>
      <c r="W25" s="123">
        <f>(Y25*H25*T25/S25)/'Master P&amp;L'!$AD$7*10000</f>
        <v>0.9410874632307008</v>
      </c>
      <c r="X25" s="407">
        <f t="shared" si="4"/>
        <v>0</v>
      </c>
      <c r="Y25" s="267">
        <f t="shared" si="5"/>
        <v>8.1999999999999993</v>
      </c>
      <c r="Z25" s="36">
        <f>_xll.BDP(D25&amp;" Equity","LAST_PRICE")</f>
        <v>49.25</v>
      </c>
      <c r="AA25" s="36" cm="1">
        <f t="array" ref="AA25">_xll.BDP(B25&amp;" Equity","OPT_STRIKE_PX")</f>
        <v>50</v>
      </c>
      <c r="AB25" s="39">
        <f t="shared" si="6"/>
        <v>1.5228426395939021E-2</v>
      </c>
      <c r="AC25" s="318" cm="1">
        <f t="array" ref="AC25">_xll.BDP($D25&amp;" Equity","volatility_10d")</f>
        <v>132.39479020961983</v>
      </c>
      <c r="AD25" s="36" cm="1">
        <f t="array" ref="AD25">_xll.BDP(B25&amp;" Equity","ivol_mid")</f>
        <v>62.003700000000002</v>
      </c>
      <c r="AE25" s="36">
        <f t="shared" si="7"/>
        <v>0.46832431927139989</v>
      </c>
      <c r="AF25" s="37" cm="1">
        <f t="array" ref="AF25">_xll.BDP(B25&amp;" Equity","DELTA_MID_RT")</f>
        <v>0.58388292789459229</v>
      </c>
      <c r="AG25" s="18">
        <f>AL25/'Master P&amp;L'!$AE$7</f>
        <v>3.3002599383200943E-4</v>
      </c>
      <c r="AH25" s="18">
        <f>AM25/'Master P&amp;L'!$AE$7</f>
        <v>5.6522631175746354E-4</v>
      </c>
      <c r="AI25" s="420">
        <f>AO25/'Master P&amp;L'!$AD$7*10000</f>
        <v>-2.7714351019598269E-3</v>
      </c>
      <c r="AJ25" s="344">
        <f t="shared" si="8"/>
        <v>4.9540465572183723E-2</v>
      </c>
      <c r="AK25" s="37">
        <f>AP25/'Master P&amp;L'!$AD$7*10000</f>
        <v>4.8775874618664249E-2</v>
      </c>
      <c r="AL25" s="15">
        <f t="shared" si="9"/>
        <v>790796.44046723843</v>
      </c>
      <c r="AM25" s="15">
        <f t="shared" si="10"/>
        <v>1354375</v>
      </c>
      <c r="AN25" s="37" cm="1">
        <f t="array" ref="AN25">_xll.BDP($B25&amp;" Equity","theta_mid_rt")</f>
        <v>-2.4148412048816681E-2</v>
      </c>
      <c r="AO25" s="15">
        <f t="shared" si="11"/>
        <v>-664.08133134245872</v>
      </c>
      <c r="AP25" s="15">
        <f t="shared" si="12"/>
        <v>11687.499999999971</v>
      </c>
      <c r="AQ25" s="35" t="str" cm="1">
        <f t="array" ref="AQ25">_xll.BDP($D25&amp;" Equity","EXPECTED_REPORT_DT")</f>
        <v>24/04/2026</v>
      </c>
      <c r="AR25" s="65" cm="1">
        <f t="array" ref="AR25">_xll.BDP($B25&amp;" Equity","GAMMA_LAST")</f>
        <v>9.4350000000000007E-3</v>
      </c>
      <c r="AS25">
        <f t="shared" si="13"/>
        <v>6293.4251015625005</v>
      </c>
      <c r="AT25">
        <f t="shared" si="14"/>
        <v>31467.1255078125</v>
      </c>
      <c r="AU25" t="s">
        <v>151</v>
      </c>
      <c r="AV25" s="271" cm="1">
        <f t="array" ref="AV25">_xll.BDP($D25&amp;" Equity","EST_PE_NXT_YR")*(AA25/Z25)</f>
        <v>49.618783748255709</v>
      </c>
      <c r="AW25"/>
      <c r="AX25" s="15"/>
      <c r="AY25" s="271">
        <v>8.1999999999999993</v>
      </c>
      <c r="AZ25" s="349"/>
      <c r="BA25" s="15">
        <f t="shared" si="15"/>
        <v>8.1999999999999993</v>
      </c>
      <c r="BB25" s="408">
        <f t="shared" si="16"/>
        <v>7.7750000000000004</v>
      </c>
      <c r="BC25" s="408">
        <f t="shared" si="17"/>
        <v>-11687.499999999971</v>
      </c>
      <c r="BD25" s="408">
        <f>BC25/'Master P&amp;L'!$AD$7*10000</f>
        <v>-4.8775874618664249E-2</v>
      </c>
    </row>
    <row r="26" spans="1:56">
      <c r="A26" s="329"/>
      <c r="B26" s="72" t="s">
        <v>2323</v>
      </c>
      <c r="C26" s="72" t="str" cm="1">
        <f t="array" ref="C26">_xll.BDP($B26&amp;" Equity","opt_put_call")</f>
        <v>Put</v>
      </c>
      <c r="D26" s="72" t="str" cm="1">
        <f t="array" ref="D26">_xll.BDP(B26&amp;" Equity","OPT_UNDL_TICKER")</f>
        <v>INTC US</v>
      </c>
      <c r="E26" s="72" t="str" cm="1">
        <f t="array" ref="E26">_xll.BDP($B26&amp;" Equity","mifid_Maturity_date")</f>
        <v>17/07/2026</v>
      </c>
      <c r="F26" s="72" cm="1">
        <f t="array" ref="F26">_xll.BDP($B26&amp;" Equity","opt_days_expire")</f>
        <v>164</v>
      </c>
      <c r="G26" s="72" t="str" cm="1">
        <f t="array" ref="G26">_xll.BDP(B26&amp;" Equity","QUOTED_CURRENCY_REALTIME")</f>
        <v>USD</v>
      </c>
      <c r="H26" s="41">
        <v>-150</v>
      </c>
      <c r="I26" s="403">
        <v>3.8</v>
      </c>
      <c r="J26" s="14">
        <f>VLOOKUP(B26,Precificação!$B:$O,14,FALSE)</f>
        <v>3.2749999999999999</v>
      </c>
      <c r="K26" s="14">
        <f t="shared" si="18"/>
        <v>3.2749999999999999</v>
      </c>
      <c r="L26" s="73" cm="1">
        <f t="array" ref="L26">_xll.BDP($B26&amp;" Equity","mid")</f>
        <v>3.11</v>
      </c>
      <c r="M26" s="74">
        <f t="shared" si="0"/>
        <v>6.3147208121827406E-2</v>
      </c>
      <c r="N26" s="346"/>
      <c r="O26" s="74">
        <f t="shared" si="1"/>
        <v>-5.0381679389313039E-2</v>
      </c>
      <c r="P26" s="73" cm="1">
        <f t="array" ref="P26">_xll.BDP($B26&amp;" Equity","bid")</f>
        <v>2.87</v>
      </c>
      <c r="Q26" s="73" cm="1">
        <f t="array" ref="Q26">_xll.BDP($B26&amp;" Equity","ask")</f>
        <v>3.35</v>
      </c>
      <c r="R26" s="75">
        <f t="shared" si="2"/>
        <v>0.16724738675958184</v>
      </c>
      <c r="S26" s="35" cm="1">
        <f t="array" ref="S26">_xll.BDP(G26&amp;" Curncy","PX_LAST")</f>
        <v>1</v>
      </c>
      <c r="T26" s="41" cm="1">
        <f t="array" ref="T26">_xll.BDP(B26&amp;" Equity","OPT_MULTIPLIER")</f>
        <v>100</v>
      </c>
      <c r="U26" s="41">
        <f t="shared" si="3"/>
        <v>-46650</v>
      </c>
      <c r="V26" s="112">
        <f>U26/'Master P&amp;L'!$AD$7*10000</f>
        <v>-0.19468616478808065</v>
      </c>
      <c r="W26" s="112">
        <f>(Y26*H26*T26/S26)/'Master P&amp;L'!$AD$7*10000</f>
        <v>-0.19468616478808065</v>
      </c>
      <c r="X26" s="117">
        <f t="shared" si="4"/>
        <v>0</v>
      </c>
      <c r="Y26" s="266">
        <f t="shared" si="5"/>
        <v>3.11</v>
      </c>
      <c r="Z26" s="76">
        <f>_xll.BDP(D26&amp;" Equity","LAST_PRICE")</f>
        <v>49.25</v>
      </c>
      <c r="AA26" s="76" cm="1">
        <f t="array" ref="AA26">_xll.BDP(B26&amp;" Equity","OPT_STRIKE_PX")</f>
        <v>40</v>
      </c>
      <c r="AB26" s="75">
        <f t="shared" si="6"/>
        <v>-0.18781725888324874</v>
      </c>
      <c r="AC26" s="317" cm="1">
        <f t="array" ref="AC26">_xll.BDP($D26&amp;" Equity","volatility_10d")</f>
        <v>132.39479020961983</v>
      </c>
      <c r="AD26" s="76" cm="1">
        <f t="array" ref="AD26">_xll.BDP(B26&amp;" Equity","ivol_mid")</f>
        <v>60.236840000000001</v>
      </c>
      <c r="AE26" s="76">
        <f t="shared" si="7"/>
        <v>0.45497893009707857</v>
      </c>
      <c r="AF26" s="77" cm="1">
        <f t="array" ref="AF26">_xll.BDP(B26&amp;" Equity","DELTA_MID_RT")</f>
        <v>-0.22502721846103668</v>
      </c>
      <c r="AG26" s="74">
        <f>AL26/'Master P&amp;L'!$AE$7</f>
        <v>6.9377075310421524E-5</v>
      </c>
      <c r="AH26" s="74">
        <f>AM26/'Master P&amp;L'!$AE$7</f>
        <v>3.0830526095861652E-4</v>
      </c>
      <c r="AI26" s="421">
        <f>AO26/'Master P&amp;L'!$AD$7*10000</f>
        <v>1.1150131745039542E-3</v>
      </c>
      <c r="AJ26" s="344">
        <f t="shared" si="8"/>
        <v>-1.9931288214175589E-2</v>
      </c>
      <c r="AK26" s="77">
        <f>AP26/'Master P&amp;L'!$AD$7*10000</f>
        <v>1.0329008742775985E-2</v>
      </c>
      <c r="AL26" s="41">
        <f t="shared" si="9"/>
        <v>166238.85763809085</v>
      </c>
      <c r="AM26" s="41">
        <f t="shared" si="10"/>
        <v>738750</v>
      </c>
      <c r="AN26" s="77" cm="1">
        <f t="array" ref="AN26">_xll.BDP($B26&amp;" Equity","theta_mid_rt")</f>
        <v>-1.7811696976423264E-2</v>
      </c>
      <c r="AO26" s="41">
        <f t="shared" si="11"/>
        <v>267.17545464634895</v>
      </c>
      <c r="AP26" s="41">
        <f t="shared" si="12"/>
        <v>2475.0000000000005</v>
      </c>
      <c r="AQ26" s="73" t="str" cm="1">
        <f t="array" ref="AQ26">_xll.BDP($D26&amp;" Equity","EXPECTED_REPORT_DT")</f>
        <v>24/04/2026</v>
      </c>
      <c r="AR26" s="230" cm="1">
        <f t="array" ref="AR26">_xll.BDP($B26&amp;" Equity","GAMMA_LAST")</f>
        <v>7.6629999999999997E-3</v>
      </c>
      <c r="AS26" s="72">
        <f t="shared" si="13"/>
        <v>-2788.062815625</v>
      </c>
      <c r="AT26" s="72">
        <f t="shared" si="14"/>
        <v>-13940.314078125002</v>
      </c>
      <c r="AU26" s="72" t="s">
        <v>151</v>
      </c>
      <c r="AV26" s="316" cm="1">
        <f t="array" ref="AV26">_xll.BDP($D26&amp;" Equity","EST_PE_NXT_YR")*(AA26/Z26)</f>
        <v>39.695026998604568</v>
      </c>
      <c r="AW26" s="72"/>
      <c r="AX26" s="41"/>
      <c r="AY26" s="316">
        <v>3.11</v>
      </c>
      <c r="AZ26" s="348"/>
      <c r="BA26" s="41">
        <f t="shared" si="15"/>
        <v>3.11</v>
      </c>
      <c r="BB26" s="340">
        <f t="shared" si="16"/>
        <v>3.2749999999999999</v>
      </c>
      <c r="BC26" s="340">
        <f t="shared" si="17"/>
        <v>-2475.0000000000009</v>
      </c>
      <c r="BD26" s="340">
        <f>BC26/'Master P&amp;L'!$AD$7*10000</f>
        <v>-1.0329008742775989E-2</v>
      </c>
    </row>
    <row r="27" spans="1:56" s="378" customFormat="1">
      <c r="A27" s="544" t="s">
        <v>1770</v>
      </c>
      <c r="B27" s="378" t="s">
        <v>2323</v>
      </c>
      <c r="C27" s="378" t="str" cm="1">
        <f t="array" ref="C27">_xll.BDP($B27&amp;" Equity","opt_put_call")</f>
        <v>Put</v>
      </c>
      <c r="D27" s="378" t="str" cm="1">
        <f t="array" ref="D27">_xll.BDP(B27&amp;" Equity","OPT_UNDL_TICKER")</f>
        <v>INTC US</v>
      </c>
      <c r="E27" s="378" t="str" cm="1">
        <f t="array" ref="E27">_xll.BDP($B27&amp;" Equity","mifid_Maturity_date")</f>
        <v>17/07/2026</v>
      </c>
      <c r="F27" s="378" cm="1">
        <f t="array" ref="F27">_xll.BDP($B27&amp;" Equity","opt_days_expire")</f>
        <v>164</v>
      </c>
      <c r="G27" s="378" t="str" cm="1">
        <f t="array" ref="G27">_xll.BDP(B27&amp;" Equity","QUOTED_CURRENCY_REALTIME")</f>
        <v>USD</v>
      </c>
      <c r="H27" s="512">
        <v>100</v>
      </c>
      <c r="I27" s="540"/>
      <c r="J27" s="122"/>
      <c r="K27" s="122">
        <v>3.15</v>
      </c>
      <c r="L27" s="122" cm="1">
        <f t="array" ref="L27">_xll.BDP($B27&amp;" Equity","mid")</f>
        <v>3.11</v>
      </c>
      <c r="M27" s="406">
        <f t="shared" si="0"/>
        <v>6.3147208121827406E-2</v>
      </c>
      <c r="N27" s="521"/>
      <c r="O27" s="406">
        <f t="shared" si="1"/>
        <v>-1.2698412698412764E-2</v>
      </c>
      <c r="P27" s="122" cm="1">
        <f t="array" ref="P27">_xll.BDP($B27&amp;" Equity","bid")</f>
        <v>2.87</v>
      </c>
      <c r="Q27" s="122" cm="1">
        <f t="array" ref="Q27">_xll.BDP($B27&amp;" Equity","ask")</f>
        <v>3.35</v>
      </c>
      <c r="R27" s="523">
        <f t="shared" si="2"/>
        <v>0.16724738675958184</v>
      </c>
      <c r="S27" s="122" cm="1">
        <f t="array" ref="S27">_xll.BDP(G27&amp;" Curncy","PX_LAST")</f>
        <v>1</v>
      </c>
      <c r="T27" s="512" cm="1">
        <f t="array" ref="T27">_xll.BDP(B27&amp;" Equity","OPT_MULTIPLIER")</f>
        <v>100</v>
      </c>
      <c r="U27" s="512">
        <f t="shared" si="3"/>
        <v>31100</v>
      </c>
      <c r="V27" s="543">
        <f>U27/'Master P&amp;L'!$AD$7*10000</f>
        <v>0.12979077652538712</v>
      </c>
      <c r="W27" s="543">
        <f>(Y27*H27*T27/S27)/'Master P&amp;L'!$AD$7*10000</f>
        <v>0.12979077652538712</v>
      </c>
      <c r="X27" s="534">
        <f t="shared" si="4"/>
        <v>0</v>
      </c>
      <c r="Y27" s="542">
        <f t="shared" si="5"/>
        <v>3.11</v>
      </c>
      <c r="Z27" s="533">
        <f>_xll.BDP(D27&amp;" Equity","LAST_PRICE")</f>
        <v>49.25</v>
      </c>
      <c r="AA27" s="533" cm="1">
        <f t="array" ref="AA27">_xll.BDP(B27&amp;" Equity","OPT_STRIKE_PX")</f>
        <v>40</v>
      </c>
      <c r="AB27" s="523">
        <f t="shared" si="6"/>
        <v>-0.18781725888324874</v>
      </c>
      <c r="AC27" s="541" cm="1">
        <f t="array" ref="AC27">_xll.BDP($D27&amp;" Equity","volatility_10d")</f>
        <v>132.39479020961983</v>
      </c>
      <c r="AD27" s="533" cm="1">
        <f t="array" ref="AD27">_xll.BDP(B27&amp;" Equity","ivol_mid")</f>
        <v>60.236840000000001</v>
      </c>
      <c r="AE27" s="533">
        <f t="shared" si="7"/>
        <v>0.45497893009707857</v>
      </c>
      <c r="AF27" s="539" cm="1">
        <f t="array" ref="AF27">_xll.BDP(B27&amp;" Equity","DELTA_MID_RT")</f>
        <v>-0.22502721846103668</v>
      </c>
      <c r="AG27" s="406">
        <f>AL27/'Master P&amp;L'!$AE$7</f>
        <v>-4.6251383540281012E-5</v>
      </c>
      <c r="AH27" s="406">
        <f>AM27/'Master P&amp;L'!$AE$7</f>
        <v>-2.0553684063907767E-4</v>
      </c>
      <c r="AI27" s="532">
        <f>AO27/'Master P&amp;L'!$AD$7*10000</f>
        <v>-7.4334211633596942E-4</v>
      </c>
      <c r="AJ27" s="521">
        <f t="shared" si="8"/>
        <v>1.3287525476117059E-2</v>
      </c>
      <c r="AK27" s="539">
        <f>AP27/'Master P&amp;L'!$AD$7*10000</f>
        <v>-1.6693347463072313E-3</v>
      </c>
      <c r="AL27" s="512">
        <f t="shared" si="9"/>
        <v>-110825.90509206057</v>
      </c>
      <c r="AM27" s="512">
        <f t="shared" si="10"/>
        <v>-492500</v>
      </c>
      <c r="AN27" s="539" cm="1">
        <f t="array" ref="AN27">_xll.BDP($B27&amp;" Equity","theta_mid_rt")</f>
        <v>-1.7811696976423264E-2</v>
      </c>
      <c r="AO27" s="512">
        <f t="shared" si="11"/>
        <v>-178.11696976423264</v>
      </c>
      <c r="AP27" s="512">
        <f t="shared" si="12"/>
        <v>-400.00000000000034</v>
      </c>
      <c r="AQ27" s="122" t="str" cm="1">
        <f t="array" ref="AQ27">_xll.BDP($D27&amp;" Equity","EXPECTED_REPORT_DT")</f>
        <v>24/04/2026</v>
      </c>
      <c r="AR27" s="530" cm="1">
        <f t="array" ref="AR27">_xll.BDP($B27&amp;" Equity","GAMMA_LAST")</f>
        <v>7.6629999999999997E-3</v>
      </c>
      <c r="AS27" s="378">
        <f t="shared" si="13"/>
        <v>1858.70854375</v>
      </c>
      <c r="AT27" s="378">
        <f t="shared" si="14"/>
        <v>9293.5427187500009</v>
      </c>
      <c r="AU27" s="378" t="s">
        <v>151</v>
      </c>
      <c r="AV27" s="362" cm="1">
        <f t="array" ref="AV27">_xll.BDP($D27&amp;" Equity","EST_PE_NXT_YR")*(AA27/Z27)</f>
        <v>39.695026998604568</v>
      </c>
      <c r="AX27" s="512"/>
      <c r="AY27" s="362">
        <v>3.11</v>
      </c>
      <c r="AZ27" s="531"/>
      <c r="BA27" s="512">
        <f t="shared" si="15"/>
        <v>3.11</v>
      </c>
      <c r="BB27" s="529">
        <f t="shared" si="16"/>
        <v>0</v>
      </c>
      <c r="BC27" s="529">
        <f t="shared" si="17"/>
        <v>-31100</v>
      </c>
      <c r="BD27" s="529">
        <f>BC27/'Master P&amp;L'!$AD$7*10000</f>
        <v>-0.12979077652538712</v>
      </c>
    </row>
    <row r="28" spans="1:56" s="58" customFormat="1">
      <c r="A28" s="490"/>
      <c r="B28" s="58" t="s">
        <v>2469</v>
      </c>
      <c r="C28" s="58" t="s">
        <v>1926</v>
      </c>
      <c r="D28" s="58" t="str" cm="1">
        <f t="array" ref="D28">_xll.BDP(B28&amp;" INDEX","OPT_UNDL_TICKER")</f>
        <v>1OH6</v>
      </c>
      <c r="E28" s="58" t="str" cm="1">
        <f t="array" ref="E28">_xll.BDP($B28&amp;" INDEX","mifid_Maturity_date")</f>
        <v>06/02/2026</v>
      </c>
      <c r="F28" s="58" cm="1">
        <f t="array" ref="F28">_xll.BDP($B28&amp;" INDEX","opt_days_expire")</f>
        <v>3</v>
      </c>
      <c r="G28" s="58" t="str" cm="1">
        <f t="array" ref="G28">_xll.BDP(B28&amp;" INDEX","QUOTED_CURRENCY_REALTIME")</f>
        <v>USD</v>
      </c>
      <c r="H28" s="398">
        <v>20</v>
      </c>
      <c r="I28" s="405"/>
      <c r="J28" s="14"/>
      <c r="K28" s="73">
        <f>_xll.BDP(B28&amp;" index","PX_YEST_CLOSE")</f>
        <v>173.5</v>
      </c>
      <c r="L28" s="73" cm="1">
        <f t="array" ref="L28">_xll.BDP($B28&amp;" INDEX","mid")</f>
        <v>415.75</v>
      </c>
      <c r="M28" s="127">
        <f t="shared" si="0"/>
        <v>1.6356197257902709E-2</v>
      </c>
      <c r="N28" s="418"/>
      <c r="O28" s="127">
        <f t="shared" si="1"/>
        <v>1.3962536023054755</v>
      </c>
      <c r="P28" s="14" cm="1">
        <f t="array" ref="P28">_xll.BDP($B28&amp;" INDEX","bid")</f>
        <v>410.5</v>
      </c>
      <c r="Q28" s="14" cm="1">
        <f t="array" ref="Q28">_xll.BDP($B28&amp;" INDEX","ask")</f>
        <v>421</v>
      </c>
      <c r="R28" s="417">
        <f t="shared" si="2"/>
        <v>2.5578562728379994E-2</v>
      </c>
      <c r="S28" s="14" cm="1">
        <f t="array" ref="S28">_xll.BDP(G28&amp;" Curncy","PX_LAST")</f>
        <v>1</v>
      </c>
      <c r="T28" s="398">
        <v>20</v>
      </c>
      <c r="U28" s="398">
        <f t="shared" si="3"/>
        <v>166300</v>
      </c>
      <c r="V28" s="491">
        <f>U28/'Master P&amp;L'!$AD$7*10000</f>
        <v>0.6940259207772308</v>
      </c>
      <c r="W28" s="491">
        <f>(Y28*H28*T28/S28)/'Master P&amp;L'!$AD$7*10000</f>
        <v>0.14064145237638412</v>
      </c>
      <c r="X28" s="492">
        <f t="shared" si="4"/>
        <v>331.5</v>
      </c>
      <c r="Y28" s="493">
        <f t="shared" si="5"/>
        <v>84.25</v>
      </c>
      <c r="Z28" s="494">
        <f>_xll.BDP(D28&amp;" INDEX","LAST_PRICE")</f>
        <v>25418.5</v>
      </c>
      <c r="AA28" s="494" cm="1">
        <f t="array" ref="AA28">_xll.BDP(B28&amp;" INDEX","OPT_STRIKE_PX")</f>
        <v>25750</v>
      </c>
      <c r="AB28" s="417">
        <f t="shared" si="6"/>
        <v>1.304168223931379E-2</v>
      </c>
      <c r="AC28" s="419" cm="1">
        <f t="array" ref="AC28">_xll.BDP($D28&amp;" INDEX","volatility_10d")</f>
        <v>15.004444122314453</v>
      </c>
      <c r="AD28" s="494" cm="1">
        <f t="array" ref="AD28">_xll.BDP(B28&amp;" INDEX","ivol_mid")</f>
        <v>26.791891</v>
      </c>
      <c r="AE28" s="494">
        <f t="shared" si="7"/>
        <v>1.7855970392235576</v>
      </c>
      <c r="AF28" s="495" cm="1">
        <f t="array" ref="AF28">_xll.BDP(B28&amp;" INDEX","DELTA_MID_RT")</f>
        <v>-0.73475784063339233</v>
      </c>
      <c r="AG28" s="127">
        <f>AL28/'Master P&amp;L'!$AE$7</f>
        <v>-3.117723385535078E-3</v>
      </c>
      <c r="AH28" s="127">
        <f>AM28/'Master P&amp;L'!$AE$7</f>
        <v>-4.2431985249010316E-3</v>
      </c>
      <c r="AI28" s="421"/>
      <c r="AJ28" s="344"/>
      <c r="AK28" s="495">
        <f>AP28/'Master P&amp;L'!$AD$7*10000</f>
        <v>0.40439634229292643</v>
      </c>
      <c r="AL28" s="398">
        <f t="shared" si="9"/>
        <v>-7470576.8688559532</v>
      </c>
      <c r="AM28" s="398">
        <f t="shared" si="10"/>
        <v>-10167400</v>
      </c>
      <c r="AN28" s="495" cm="1">
        <f t="array" ref="AN28">_xll.BDP($B28&amp;" INDEX","theta_mid_rt")</f>
        <v>-39.057727813720703</v>
      </c>
      <c r="AO28" s="398">
        <f t="shared" si="11"/>
        <v>-15623.091125488281</v>
      </c>
      <c r="AP28" s="398">
        <f t="shared" si="12"/>
        <v>96900</v>
      </c>
      <c r="AQ28" s="14" t="str" cm="1">
        <f t="array" ref="AQ28">_xll.BDP($D28&amp;" INDEX","EXPECTED_REPORT_DT")</f>
        <v>#N/A Field Not Applicable</v>
      </c>
      <c r="AR28" s="113" cm="1">
        <f t="array" ref="AR28">_xll.BDP($B28&amp;" INDEX","GAMMA_LAST")</f>
        <v>0.14293700000000001</v>
      </c>
      <c r="AS28" s="58">
        <f t="shared" si="13"/>
        <v>369406464.13115299</v>
      </c>
      <c r="AT28" s="58">
        <f t="shared" si="14"/>
        <v>1847032320.6557655</v>
      </c>
      <c r="AU28" s="58" t="s">
        <v>151</v>
      </c>
      <c r="AV28" s="331" t="e" cm="1">
        <f t="array" ref="AV28">_xll.BDP($D28&amp;" INDEX","EST_PE_NXT_YR")*(AA28/Z28)</f>
        <v>#VALUE!</v>
      </c>
      <c r="AX28" s="398"/>
      <c r="AY28" s="331">
        <v>421.75</v>
      </c>
      <c r="AZ28" s="497"/>
      <c r="BA28" s="398">
        <f t="shared" si="15"/>
        <v>421.75</v>
      </c>
      <c r="BB28" s="498">
        <f t="shared" si="16"/>
        <v>0</v>
      </c>
      <c r="BC28" s="498">
        <f t="shared" si="17"/>
        <v>-843500</v>
      </c>
      <c r="BD28" s="498">
        <f>BC28/'Master P&amp;L'!$AD$7*10000</f>
        <v>-3.5202096462753705</v>
      </c>
    </row>
    <row r="29" spans="1:56" s="58" customFormat="1">
      <c r="A29" s="490" t="s">
        <v>1770</v>
      </c>
      <c r="B29" s="58" t="s">
        <v>2469</v>
      </c>
      <c r="C29" s="58" t="s">
        <v>1926</v>
      </c>
      <c r="D29" s="58" t="str" cm="1">
        <f t="array" ref="D29">_xll.BDP(B29&amp;" INDEX","OPT_UNDL_TICKER")</f>
        <v>1OH6</v>
      </c>
      <c r="E29" s="58" t="str" cm="1">
        <f t="array" ref="E29">_xll.BDP($B29&amp;" INDEX","mifid_Maturity_date")</f>
        <v>06/02/2026</v>
      </c>
      <c r="F29" s="58" cm="1">
        <f t="array" ref="F29">_xll.BDP($B29&amp;" INDEX","opt_days_expire")</f>
        <v>3</v>
      </c>
      <c r="G29" s="58" t="str" cm="1">
        <f t="array" ref="G29">_xll.BDP(B29&amp;" INDEX","QUOTED_CURRENCY_REALTIME")</f>
        <v>USD</v>
      </c>
      <c r="H29" s="398">
        <v>-20</v>
      </c>
      <c r="I29" s="405"/>
      <c r="J29" s="14"/>
      <c r="K29" s="73">
        <v>330</v>
      </c>
      <c r="L29" s="73" cm="1">
        <f t="array" ref="L29">_xll.BDP($B29&amp;" INDEX","mid")</f>
        <v>415.75</v>
      </c>
      <c r="M29" s="127">
        <f t="shared" si="0"/>
        <v>1.6356197257902709E-2</v>
      </c>
      <c r="N29" s="418"/>
      <c r="O29" s="127">
        <f t="shared" si="1"/>
        <v>0.25984848484848477</v>
      </c>
      <c r="P29" s="14" cm="1">
        <f t="array" ref="P29">_xll.BDP($B29&amp;" INDEX","bid")</f>
        <v>410.5</v>
      </c>
      <c r="Q29" s="14" cm="1">
        <f t="array" ref="Q29">_xll.BDP($B29&amp;" INDEX","ask")</f>
        <v>421</v>
      </c>
      <c r="R29" s="417">
        <f t="shared" si="2"/>
        <v>2.5578562728379994E-2</v>
      </c>
      <c r="S29" s="14" cm="1">
        <f t="array" ref="S29">_xll.BDP(G29&amp;" Curncy","PX_LAST")</f>
        <v>1</v>
      </c>
      <c r="T29" s="398">
        <v>20</v>
      </c>
      <c r="U29" s="398">
        <f t="shared" si="3"/>
        <v>-166300</v>
      </c>
      <c r="V29" s="491">
        <f>U29/'Master P&amp;L'!$AD$7*10000</f>
        <v>-0.6940259207772308</v>
      </c>
      <c r="W29" s="491">
        <f>(Y29*H29*T29/S29)/'Master P&amp;L'!$AD$7*10000</f>
        <v>-0.14064145237638412</v>
      </c>
      <c r="X29" s="492">
        <f t="shared" si="4"/>
        <v>331.5</v>
      </c>
      <c r="Y29" s="493">
        <f t="shared" si="5"/>
        <v>84.25</v>
      </c>
      <c r="Z29" s="494">
        <f>_xll.BDP(D29&amp;" INDEX","LAST_PRICE")</f>
        <v>25418.5</v>
      </c>
      <c r="AA29" s="494" cm="1">
        <f t="array" ref="AA29">_xll.BDP(B29&amp;" INDEX","OPT_STRIKE_PX")</f>
        <v>25750</v>
      </c>
      <c r="AB29" s="417">
        <f t="shared" si="6"/>
        <v>1.304168223931379E-2</v>
      </c>
      <c r="AC29" s="419" cm="1">
        <f t="array" ref="AC29">_xll.BDP($D29&amp;" INDEX","volatility_10d")</f>
        <v>15.004444122314453</v>
      </c>
      <c r="AD29" s="494" cm="1">
        <f t="array" ref="AD29">_xll.BDP(B29&amp;" INDEX","ivol_mid")</f>
        <v>26.791891</v>
      </c>
      <c r="AE29" s="494">
        <f t="shared" si="7"/>
        <v>1.7855970392235576</v>
      </c>
      <c r="AF29" s="495" cm="1">
        <f t="array" ref="AF29">_xll.BDP(B29&amp;" INDEX","DELTA_MID_RT")</f>
        <v>-0.73475784063339233</v>
      </c>
      <c r="AG29" s="127">
        <f>AL29/'Master P&amp;L'!$AE$7</f>
        <v>3.117723385535078E-3</v>
      </c>
      <c r="AH29" s="127">
        <f>AM29/'Master P&amp;L'!$AE$7</f>
        <v>4.2431985249010316E-3</v>
      </c>
      <c r="AI29" s="421"/>
      <c r="AJ29" s="344"/>
      <c r="AK29" s="495">
        <f>AP29/'Master P&amp;L'!$AD$7*10000</f>
        <v>-0.14314545449584495</v>
      </c>
      <c r="AL29" s="398">
        <f t="shared" si="9"/>
        <v>7470576.8688559532</v>
      </c>
      <c r="AM29" s="398">
        <f t="shared" si="10"/>
        <v>10167400</v>
      </c>
      <c r="AN29" s="495" cm="1">
        <f t="array" ref="AN29">_xll.BDP($B29&amp;" INDEX","theta_mid_rt")</f>
        <v>-39.057727813720703</v>
      </c>
      <c r="AO29" s="398">
        <f t="shared" si="11"/>
        <v>15623.091125488281</v>
      </c>
      <c r="AP29" s="398">
        <f t="shared" si="12"/>
        <v>-34300</v>
      </c>
      <c r="AQ29" s="14" t="str" cm="1">
        <f t="array" ref="AQ29">_xll.BDP($D29&amp;" INDEX","EXPECTED_REPORT_DT")</f>
        <v>#N/A Field Not Applicable</v>
      </c>
      <c r="AR29" s="113" cm="1">
        <f t="array" ref="AR29">_xll.BDP($B29&amp;" INDEX","GAMMA_LAST")</f>
        <v>0.14293700000000001</v>
      </c>
      <c r="AS29" s="58">
        <f t="shared" si="13"/>
        <v>-369406464.13115299</v>
      </c>
      <c r="AT29" s="58">
        <f t="shared" si="14"/>
        <v>-1847032320.6557655</v>
      </c>
      <c r="AU29" s="58" t="s">
        <v>151</v>
      </c>
      <c r="AV29" s="331" t="e" cm="1">
        <f t="array" ref="AV29">_xll.BDP($D29&amp;" INDEX","EST_PE_NXT_YR")*(AA29/Z29)</f>
        <v>#VALUE!</v>
      </c>
      <c r="AX29" s="398"/>
      <c r="AY29" s="331">
        <v>421.75</v>
      </c>
      <c r="AZ29" s="497"/>
      <c r="BA29" s="398">
        <f t="shared" si="15"/>
        <v>421.75</v>
      </c>
      <c r="BB29" s="498">
        <f t="shared" si="16"/>
        <v>0</v>
      </c>
      <c r="BC29" s="498">
        <f t="shared" si="17"/>
        <v>843500</v>
      </c>
      <c r="BD29" s="498">
        <f>BC29/'Master P&amp;L'!$AD$7*10000</f>
        <v>3.5202096462753705</v>
      </c>
    </row>
    <row r="30" spans="1:56" s="378" customFormat="1">
      <c r="A30" s="544" t="s">
        <v>1770</v>
      </c>
      <c r="B30" s="378" t="s">
        <v>2485</v>
      </c>
      <c r="C30" s="378" t="s">
        <v>1926</v>
      </c>
      <c r="D30" s="378" t="str" cm="1">
        <f t="array" ref="D30">_xll.BDP(B30&amp;" INDEX","OPT_UNDL_TICKER")</f>
        <v>2OH6</v>
      </c>
      <c r="E30" s="378" t="str" cm="1">
        <f t="array" ref="E30">_xll.BDP($B30&amp;" INDEX","mifid_Maturity_date")</f>
        <v>13/02/2026</v>
      </c>
      <c r="F30" s="378" cm="1">
        <f t="array" ref="F30">_xll.BDP($B30&amp;" INDEX","opt_days_expire")</f>
        <v>10</v>
      </c>
      <c r="G30" s="378" t="str" cm="1">
        <f t="array" ref="G30">_xll.BDP(B30&amp;" INDEX","QUOTED_CURRENCY_REALTIME")</f>
        <v>USD</v>
      </c>
      <c r="H30" s="512">
        <v>5</v>
      </c>
      <c r="I30" s="540"/>
      <c r="J30" s="122"/>
      <c r="K30" s="122">
        <v>70</v>
      </c>
      <c r="L30" s="122" cm="1">
        <f t="array" ref="L30">_xll.BDP($B30&amp;" INDEX","mid")</f>
        <v>230</v>
      </c>
      <c r="M30" s="406">
        <f t="shared" si="0"/>
        <v>9.0489726465294244E-3</v>
      </c>
      <c r="N30" s="521"/>
      <c r="O30" s="406">
        <f t="shared" si="1"/>
        <v>2.2857142857142856</v>
      </c>
      <c r="P30" s="122" cm="1">
        <f t="array" ref="P30">_xll.BDP($B30&amp;" INDEX","bid")</f>
        <v>227.5</v>
      </c>
      <c r="Q30" s="122" cm="1">
        <f t="array" ref="Q30">_xll.BDP($B30&amp;" INDEX","ask")</f>
        <v>232.5</v>
      </c>
      <c r="R30" s="523">
        <f t="shared" si="2"/>
        <v>2.19780219780219E-2</v>
      </c>
      <c r="S30" s="122" cm="1">
        <f t="array" ref="S30">_xll.BDP(G30&amp;" Curncy","PX_LAST")</f>
        <v>1</v>
      </c>
      <c r="T30" s="512">
        <v>20</v>
      </c>
      <c r="U30" s="512">
        <f t="shared" si="3"/>
        <v>23000</v>
      </c>
      <c r="V30" s="543">
        <f>U30/'Master P&amp;L'!$AD$7*10000</f>
        <v>9.5986747912665704E-2</v>
      </c>
      <c r="W30" s="543">
        <f>(Y30*H30*T30/S30)/'Master P&amp;L'!$AD$7*10000</f>
        <v>9.5986747912665704E-2</v>
      </c>
      <c r="X30" s="534">
        <f t="shared" si="4"/>
        <v>0</v>
      </c>
      <c r="Y30" s="542">
        <f t="shared" si="5"/>
        <v>230</v>
      </c>
      <c r="Z30" s="533">
        <f>_xll.BDP(D30&amp;" INDEX","LAST_PRICE")</f>
        <v>25417.25</v>
      </c>
      <c r="AA30" s="533" cm="1">
        <f t="array" ref="AA30">_xll.BDP(B30&amp;" INDEX","OPT_STRIKE_PX")</f>
        <v>25000</v>
      </c>
      <c r="AB30" s="523">
        <f t="shared" si="6"/>
        <v>-1.6416016681584322E-2</v>
      </c>
      <c r="AC30" s="541" cm="1">
        <f t="array" ref="AC30">_xll.BDP($D30&amp;" INDEX","volatility_10d")</f>
        <v>15.004444122314453</v>
      </c>
      <c r="AD30" s="533" cm="1">
        <f t="array" ref="AD30">_xll.BDP(B30&amp;" INDEX","ivol_mid")</f>
        <v>25.301611000000001</v>
      </c>
      <c r="AE30" s="533">
        <f t="shared" si="7"/>
        <v>1.6862744660011568</v>
      </c>
      <c r="AF30" s="539" cm="1">
        <f t="array" ref="AF30">_xll.BDP(B30&amp;" INDEX","DELTA_MID_RT")</f>
        <v>-0.33273279666900635</v>
      </c>
      <c r="AG30" s="406">
        <f>AL30/'Master P&amp;L'!$AE$7</f>
        <v>-3.5294547042744582E-4</v>
      </c>
      <c r="AH30" s="406">
        <f>AM30/'Master P&amp;L'!$AE$7</f>
        <v>-1.0607474645144359E-3</v>
      </c>
      <c r="AI30" s="532">
        <f>AO30/'Master P&amp;L'!$AD$7*10000</f>
        <v>-8.5233190531730715E-3</v>
      </c>
      <c r="AJ30" s="521">
        <f>(252*AI30)/$AI$1</f>
        <v>0.15235759762725945</v>
      </c>
      <c r="AK30" s="539">
        <f>AP30/'Master P&amp;L'!$AD$7*10000</f>
        <v>6.6773389852289186E-2</v>
      </c>
      <c r="AL30" s="512">
        <f t="shared" si="9"/>
        <v>-845715.26761353016</v>
      </c>
      <c r="AM30" s="512">
        <f t="shared" si="10"/>
        <v>-2541725</v>
      </c>
      <c r="AN30" s="539" cm="1">
        <f t="array" ref="AN30">_xll.BDP($B30&amp;" INDEX","theta_mid_rt")</f>
        <v>-20.423271179199219</v>
      </c>
      <c r="AO30" s="512">
        <f t="shared" si="11"/>
        <v>-2042.3271179199219</v>
      </c>
      <c r="AP30" s="512">
        <f t="shared" si="12"/>
        <v>16000</v>
      </c>
      <c r="AQ30" s="122" t="str" cm="1">
        <f t="array" ref="AQ30">_xll.BDP($D30&amp;" INDEX","EXPECTED_REPORT_DT")</f>
        <v>#N/A Field Not Applicable</v>
      </c>
      <c r="AR30" s="530" cm="1">
        <f t="array" ref="AR30">_xll.BDP($B30&amp;" INDEX","GAMMA_LAST")</f>
        <v>9.0361999999999998E-2</v>
      </c>
      <c r="AS30" s="378">
        <f t="shared" si="13"/>
        <v>58377159.028942622</v>
      </c>
      <c r="AT30" s="378">
        <f t="shared" si="14"/>
        <v>291885795.1447131</v>
      </c>
      <c r="AU30" s="378" t="s">
        <v>151</v>
      </c>
      <c r="AV30" s="362" t="e" cm="1">
        <f t="array" ref="AV30">_xll.BDP($D30&amp;" INDEX","EST_PE_NXT_YR")*(AA30/Z30)</f>
        <v>#VALUE!</v>
      </c>
      <c r="AX30" s="512"/>
      <c r="AY30" s="362">
        <v>233</v>
      </c>
      <c r="AZ30" s="531"/>
      <c r="BA30" s="512">
        <f t="shared" si="15"/>
        <v>233</v>
      </c>
      <c r="BB30" s="529">
        <f t="shared" si="16"/>
        <v>0</v>
      </c>
      <c r="BC30" s="529">
        <f t="shared" si="17"/>
        <v>-116500</v>
      </c>
      <c r="BD30" s="529">
        <f>BC30/'Master P&amp;L'!$AD$7*10000</f>
        <v>-0.48619374486198069</v>
      </c>
    </row>
    <row r="31" spans="1:56" s="58" customFormat="1">
      <c r="A31" s="350"/>
      <c r="B31" t="s">
        <v>2225</v>
      </c>
      <c r="C31" t="str" cm="1">
        <f t="array" ref="C31">_xll.BDP($B31&amp;" Equity","opt_put_call")</f>
        <v>Call</v>
      </c>
      <c r="D31" t="str" cm="1">
        <f t="array" ref="D31">_xll.BDP(B31&amp;" Equity","OPT_UNDL_TICKER")</f>
        <v>TSM US</v>
      </c>
      <c r="E31" t="str" cm="1">
        <f t="array" ref="E31">_xll.BDP($B31&amp;" Equity","mifid_Maturity_date")</f>
        <v>18/06/2026</v>
      </c>
      <c r="F31" cm="1">
        <f t="array" ref="F31">_xll.BDP($B31&amp;" Equity","opt_days_expire")</f>
        <v>135</v>
      </c>
      <c r="G31" t="str" cm="1">
        <f t="array" ref="G31">_xll.BDP(B31&amp;" Equity","QUOTED_CURRENCY_REALTIME")</f>
        <v>USD</v>
      </c>
      <c r="H31" s="15">
        <v>1550</v>
      </c>
      <c r="I31" s="404">
        <v>34.200000000000003</v>
      </c>
      <c r="J31" s="14">
        <f>VLOOKUP(B31,Precificação!$B:$O,14,FALSE)</f>
        <v>34.825000000000003</v>
      </c>
      <c r="K31" s="14">
        <f>+J31</f>
        <v>34.825000000000003</v>
      </c>
      <c r="L31" s="73" cm="1">
        <f t="array" ref="L31">_xll.BDP($B31&amp;" Equity","mid")</f>
        <v>32.92</v>
      </c>
      <c r="M31" s="18">
        <f t="shared" si="0"/>
        <v>9.8049143708116168E-2</v>
      </c>
      <c r="N31" s="344"/>
      <c r="O31" s="18">
        <f t="shared" si="1"/>
        <v>-5.4702081837760264E-2</v>
      </c>
      <c r="P31" s="35" cm="1">
        <f t="array" ref="P31">_xll.BDP($B31&amp;" Equity","bid")</f>
        <v>32.25</v>
      </c>
      <c r="Q31" s="35" cm="1">
        <f t="array" ref="Q31">_xll.BDP($B31&amp;" Equity","ask")</f>
        <v>33.6</v>
      </c>
      <c r="R31" s="39">
        <f t="shared" si="2"/>
        <v>4.1860465116279055E-2</v>
      </c>
      <c r="S31" s="35" cm="1">
        <f t="array" ref="S31">_xll.BDP(G31&amp;" Curncy","PX_LAST")</f>
        <v>1</v>
      </c>
      <c r="T31" s="15" cm="1">
        <f t="array" ref="T31">_xll.BDP(B31&amp;" Equity","OPT_MULTIPLIER")</f>
        <v>100</v>
      </c>
      <c r="U31" s="15">
        <f t="shared" si="3"/>
        <v>5102600</v>
      </c>
      <c r="V31" s="123">
        <f>U31/'Master P&amp;L'!$AD$7*10000</f>
        <v>21.294868691268178</v>
      </c>
      <c r="W31" s="123">
        <f>(Y31*H31*T31/S31)/'Master P&amp;L'!$AD$7*10000</f>
        <v>21.294868691268178</v>
      </c>
      <c r="X31" s="407">
        <f t="shared" si="4"/>
        <v>0</v>
      </c>
      <c r="Y31" s="267">
        <f t="shared" si="5"/>
        <v>32.92</v>
      </c>
      <c r="Z31" s="36">
        <f>_xll.BDP(D31&amp;" Equity","LAST_PRICE")</f>
        <v>335.75</v>
      </c>
      <c r="AA31" s="36" cm="1">
        <f t="array" ref="AA31">_xll.BDP(B31&amp;" Equity","OPT_STRIKE_PX")</f>
        <v>340</v>
      </c>
      <c r="AB31" s="39">
        <f t="shared" si="6"/>
        <v>1.2658227848101333E-2</v>
      </c>
      <c r="AC31" s="318" cm="1">
        <f t="array" ref="AC31">_xll.BDP($D31&amp;" Equity","volatility_10d")</f>
        <v>31.212515363325515</v>
      </c>
      <c r="AD31" s="36" cm="1">
        <f t="array" ref="AD31">_xll.BDP(B31&amp;" Equity","ivol_mid")</f>
        <v>40.506630000000001</v>
      </c>
      <c r="AE31" s="36">
        <f t="shared" si="7"/>
        <v>1.2977688445960689</v>
      </c>
      <c r="AF31" s="37" cm="1">
        <f t="array" ref="AF31">_xll.BDP(B31&amp;" Equity","DELTA_MID_RT")</f>
        <v>0.54816228151321411</v>
      </c>
      <c r="AG31" s="18">
        <f>AL31/'Master P&amp;L'!$AE$7</f>
        <v>1.190529908254938E-2</v>
      </c>
      <c r="AH31" s="18">
        <f>AM31/'Master P&amp;L'!$AE$7</f>
        <v>2.1718566716565281E-2</v>
      </c>
      <c r="AI31" s="420">
        <f>AO31/'Master P&amp;L'!$AD$7*10000</f>
        <v>-7.9185723861748367E-2</v>
      </c>
      <c r="AJ31" s="344">
        <f>(252*AI31)/$AI$1</f>
        <v>1.4154751897337612</v>
      </c>
      <c r="AK31" s="37">
        <f>AP31/'Master P&amp;L'!$AD$7*10000</f>
        <v>-1.2322820430396688</v>
      </c>
      <c r="AL31" s="15">
        <f t="shared" si="9"/>
        <v>28527050.332799554</v>
      </c>
      <c r="AM31" s="15">
        <f t="shared" si="10"/>
        <v>52041250</v>
      </c>
      <c r="AN31" s="37" cm="1">
        <f t="array" ref="AN31">_xll.BDP($B31&amp;" Equity","theta_mid_rt")</f>
        <v>-0.12241418659687042</v>
      </c>
      <c r="AO31" s="15">
        <f t="shared" si="11"/>
        <v>-18974.198922514915</v>
      </c>
      <c r="AP31" s="15">
        <f t="shared" si="12"/>
        <v>-295275.00000000017</v>
      </c>
      <c r="AQ31" s="35" t="str" cm="1">
        <f t="array" ref="AQ31">_xll.BDP($D31&amp;" Equity","EXPECTED_REPORT_DT")</f>
        <v>17/04/2026</v>
      </c>
      <c r="AR31" s="65" cm="1">
        <f t="array" ref="AR31">_xll.BDP($B31&amp;" Equity","GAMMA_LAST")</f>
        <v>1.5855000000000001E-2</v>
      </c>
      <c r="AS31">
        <f t="shared" si="13"/>
        <v>2770320.3179531251</v>
      </c>
      <c r="AT31">
        <f t="shared" si="14"/>
        <v>13851601.589765627</v>
      </c>
      <c r="AU31" t="s">
        <v>151</v>
      </c>
      <c r="AV31" s="271" cm="1">
        <f t="array" ref="AV31">_xll.BDP($D31&amp;" Equity","EST_PE_NXT_YR")*(AA31/Z31)</f>
        <v>19.548664236036284</v>
      </c>
      <c r="AW31"/>
      <c r="AX31" s="15"/>
      <c r="AY31" s="271">
        <v>32.92</v>
      </c>
      <c r="AZ31" s="349"/>
      <c r="BA31" s="15">
        <f t="shared" si="15"/>
        <v>32.92</v>
      </c>
      <c r="BB31" s="408">
        <f t="shared" si="16"/>
        <v>34.825000000000003</v>
      </c>
      <c r="BC31" s="408">
        <f t="shared" si="17"/>
        <v>295275.00000000017</v>
      </c>
      <c r="BD31" s="408">
        <f>BC31/'Master P&amp;L'!$AD$7*10000</f>
        <v>1.2322820430396688</v>
      </c>
    </row>
    <row r="32" spans="1:56">
      <c r="A32" s="329"/>
      <c r="B32" s="72" t="s">
        <v>2226</v>
      </c>
      <c r="C32" s="72" t="str" cm="1">
        <f t="array" ref="C32">_xll.BDP($B32&amp;" Equity","opt_put_call")</f>
        <v>Call</v>
      </c>
      <c r="D32" s="72" t="str" cm="1">
        <f t="array" ref="D32">_xll.BDP(B32&amp;" Equity","OPT_UNDL_TICKER")</f>
        <v>TSM US</v>
      </c>
      <c r="E32" s="72" t="str" cm="1">
        <f t="array" ref="E32">_xll.BDP($B32&amp;" Equity","mifid_Maturity_date")</f>
        <v>18/06/2026</v>
      </c>
      <c r="F32" s="72" cm="1">
        <f t="array" ref="F32">_xll.BDP($B32&amp;" Equity","opt_days_expire")</f>
        <v>135</v>
      </c>
      <c r="G32" s="72" t="str" cm="1">
        <f t="array" ref="G32">_xll.BDP(B32&amp;" Equity","QUOTED_CURRENCY_REALTIME")</f>
        <v>USD</v>
      </c>
      <c r="H32" s="41">
        <v>-1275</v>
      </c>
      <c r="I32" s="403">
        <v>19.54</v>
      </c>
      <c r="J32" s="14">
        <f>VLOOKUP(B32,Precificação!$B:$O,14,FALSE)</f>
        <v>19.625</v>
      </c>
      <c r="K32" s="14">
        <f>+J32</f>
        <v>19.625</v>
      </c>
      <c r="L32" s="73" cm="1">
        <f t="array" ref="L32">_xll.BDP($B32&amp;" Equity","mid")</f>
        <v>17.93</v>
      </c>
      <c r="M32" s="74">
        <f t="shared" si="0"/>
        <v>5.3402829486224872E-2</v>
      </c>
      <c r="N32" s="346"/>
      <c r="O32" s="74">
        <f t="shared" si="1"/>
        <v>-8.6369426751592426E-2</v>
      </c>
      <c r="P32" s="73" cm="1">
        <f t="array" ref="P32">_xll.BDP($B32&amp;" Equity","bid")</f>
        <v>17.55</v>
      </c>
      <c r="Q32" s="73" cm="1">
        <f t="array" ref="Q32">_xll.BDP($B32&amp;" Equity","ask")</f>
        <v>18.3</v>
      </c>
      <c r="R32" s="75">
        <f t="shared" si="2"/>
        <v>4.2735042735042805E-2</v>
      </c>
      <c r="S32" s="35" cm="1">
        <f t="array" ref="S32">_xll.BDP(G32&amp;" Curncy","PX_LAST")</f>
        <v>1</v>
      </c>
      <c r="T32" s="41" cm="1">
        <f t="array" ref="T32">_xll.BDP(B32&amp;" Equity","OPT_MULTIPLIER")</f>
        <v>100</v>
      </c>
      <c r="U32" s="41">
        <f t="shared" si="3"/>
        <v>-2286075</v>
      </c>
      <c r="V32" s="112">
        <f>U32/'Master P&amp;L'!$AD$7*10000</f>
        <v>-9.5405610754107517</v>
      </c>
      <c r="W32" s="112">
        <f>(Y32*H32*T32/S32)/'Master P&amp;L'!$AD$7*10000</f>
        <v>-9.5405610754107517</v>
      </c>
      <c r="X32" s="117">
        <f t="shared" si="4"/>
        <v>0</v>
      </c>
      <c r="Y32" s="266">
        <f t="shared" si="5"/>
        <v>17.93</v>
      </c>
      <c r="Z32" s="76">
        <f>_xll.BDP(D32&amp;" Equity","LAST_PRICE")</f>
        <v>335.75</v>
      </c>
      <c r="AA32" s="76" cm="1">
        <f t="array" ref="AA32">_xll.BDP(B32&amp;" Equity","OPT_STRIKE_PX")</f>
        <v>380</v>
      </c>
      <c r="AB32" s="75">
        <f t="shared" si="6"/>
        <v>0.13179448994787779</v>
      </c>
      <c r="AC32" s="317" cm="1">
        <f t="array" ref="AC32">_xll.BDP($D32&amp;" Equity","volatility_10d")</f>
        <v>31.212515363325515</v>
      </c>
      <c r="AD32" s="76" cm="1">
        <f t="array" ref="AD32">_xll.BDP(B32&amp;" Equity","ivol_mid")</f>
        <v>39.542839999999998</v>
      </c>
      <c r="AE32" s="76">
        <f t="shared" si="7"/>
        <v>1.2668905257941037</v>
      </c>
      <c r="AF32" s="77" cm="1">
        <f t="array" ref="AF32">_xll.BDP(B32&amp;" Equity","DELTA_MID_RT")</f>
        <v>0.36545190215110779</v>
      </c>
      <c r="AG32" s="74">
        <f>AL32/'Master P&amp;L'!$AE$7</f>
        <v>-6.5288978620450097E-3</v>
      </c>
      <c r="AH32" s="74">
        <f>AM32/'Master P&amp;L'!$AE$7</f>
        <v>-1.7865272621690794E-2</v>
      </c>
      <c r="AI32" s="421">
        <f>AO32/'Master P&amp;L'!$AD$7*10000</f>
        <v>6.0580574533387783E-2</v>
      </c>
      <c r="AJ32" s="344">
        <f>(252*AI32)/$AI$1</f>
        <v>-1.0829010085396222</v>
      </c>
      <c r="AK32" s="77">
        <f>AP32/'Master P&amp;L'!$AD$7*10000</f>
        <v>0.90191026340330316</v>
      </c>
      <c r="AL32" s="41">
        <f t="shared" si="9"/>
        <v>-15644310.708772391</v>
      </c>
      <c r="AM32" s="41">
        <f t="shared" si="10"/>
        <v>-42808125</v>
      </c>
      <c r="AN32" s="77" cm="1">
        <f t="array" ref="AN32">_xll.BDP($B32&amp;" Equity","theta_mid_rt")</f>
        <v>-0.11385176330804825</v>
      </c>
      <c r="AO32" s="41">
        <f t="shared" si="11"/>
        <v>14516.099821776152</v>
      </c>
      <c r="AP32" s="41">
        <f t="shared" si="12"/>
        <v>216112.50000000003</v>
      </c>
      <c r="AQ32" s="73" t="str" cm="1">
        <f t="array" ref="AQ32">_xll.BDP($D32&amp;" Equity","EXPECTED_REPORT_DT")</f>
        <v>17/04/2026</v>
      </c>
      <c r="AR32" s="230" cm="1">
        <f t="array" ref="AR32">_xll.BDP($B32&amp;" Equity","GAMMA_LAST")</f>
        <v>1.5356E-2</v>
      </c>
      <c r="AS32" s="72">
        <f t="shared" si="13"/>
        <v>-2207091.4628812498</v>
      </c>
      <c r="AT32" s="72">
        <f t="shared" si="14"/>
        <v>-11035457.314406252</v>
      </c>
      <c r="AU32" s="72" t="s">
        <v>151</v>
      </c>
      <c r="AV32" s="316" cm="1">
        <f t="array" ref="AV32">_xll.BDP($D32&amp;" Equity","EST_PE_NXT_YR")*(AA32/Z32)</f>
        <v>21.848507087334667</v>
      </c>
      <c r="AW32" s="72"/>
      <c r="AX32" s="41"/>
      <c r="AY32" s="316">
        <v>17.93</v>
      </c>
      <c r="AZ32" s="348"/>
      <c r="BA32" s="41">
        <f t="shared" si="15"/>
        <v>17.93</v>
      </c>
      <c r="BB32" s="340">
        <f t="shared" si="16"/>
        <v>19.625</v>
      </c>
      <c r="BC32" s="340">
        <f t="shared" si="17"/>
        <v>-216112.50000000006</v>
      </c>
      <c r="BD32" s="340">
        <f>BC32/'Master P&amp;L'!$AD$7*10000</f>
        <v>-0.90191026340330327</v>
      </c>
    </row>
    <row r="33" spans="8:51">
      <c r="H33" s="330"/>
      <c r="I33" s="213"/>
      <c r="J33" s="213"/>
      <c r="K33" s="213"/>
      <c r="L33" s="213"/>
    </row>
    <row r="34" spans="8:51">
      <c r="H34" s="330"/>
      <c r="I34" s="213"/>
      <c r="J34" s="213"/>
      <c r="K34" s="213"/>
      <c r="L34" s="213"/>
    </row>
    <row r="35" spans="8:51">
      <c r="I35" s="63">
        <f>I14-I15</f>
        <v>4.5999999999999996</v>
      </c>
      <c r="J35" s="63"/>
      <c r="K35" s="63"/>
      <c r="L35" s="63">
        <f>L14-L15</f>
        <v>6.75</v>
      </c>
      <c r="M35" s="63"/>
      <c r="N35" s="63"/>
      <c r="O35" s="63"/>
      <c r="P35" s="63" t="e">
        <f>#REF!-#REF!</f>
        <v>#REF!</v>
      </c>
      <c r="Q35" s="63" t="e">
        <f>#REF!-#REF!</f>
        <v>#REF!</v>
      </c>
      <c r="AY35">
        <v>6.75</v>
      </c>
    </row>
    <row r="36" spans="8:51">
      <c r="I36" s="63">
        <f>I22-I23</f>
        <v>0.98</v>
      </c>
      <c r="J36" s="63">
        <f>J22-J23</f>
        <v>0.97999999999999976</v>
      </c>
      <c r="K36" s="63">
        <f>K22-K23</f>
        <v>0.97999999999999976</v>
      </c>
      <c r="L36" s="63">
        <f>L22-L23</f>
        <v>2.4000000000000012</v>
      </c>
      <c r="AY36">
        <v>2.4000000000000012</v>
      </c>
    </row>
    <row r="37" spans="8:51">
      <c r="I37" s="63">
        <f>I20-I21</f>
        <v>6.69</v>
      </c>
      <c r="J37" s="63">
        <f>J20-J21</f>
        <v>10.749999999999998</v>
      </c>
      <c r="K37" s="63">
        <f>K20-K21</f>
        <v>10.749999999999998</v>
      </c>
      <c r="L37" s="63">
        <f>L20-L21</f>
        <v>10.850000000000001</v>
      </c>
      <c r="AY37">
        <v>10.850000000000001</v>
      </c>
    </row>
    <row r="38" spans="8:51">
      <c r="I38" s="213"/>
      <c r="J38" s="213"/>
      <c r="K38" s="213"/>
      <c r="L38" s="213"/>
      <c r="AY38" t="e">
        <v>#REF!</v>
      </c>
    </row>
    <row r="39" spans="8:51">
      <c r="I39" s="63"/>
      <c r="K39" s="63"/>
      <c r="L39" s="63"/>
      <c r="AY39">
        <v>2.9399999999999995</v>
      </c>
    </row>
    <row r="40" spans="8:51">
      <c r="I40" s="63"/>
      <c r="K40" s="63"/>
      <c r="L40" s="63"/>
    </row>
    <row r="41" spans="8:51">
      <c r="H41" s="398">
        <v>100</v>
      </c>
      <c r="I41" s="405">
        <v>30.89</v>
      </c>
      <c r="J41" s="401">
        <f>H41*I41</f>
        <v>3089</v>
      </c>
    </row>
    <row r="42" spans="8:51">
      <c r="H42" s="398"/>
      <c r="I42" s="405"/>
      <c r="J42" s="401">
        <f t="shared" ref="J42:J48" si="35">H42*I42</f>
        <v>0</v>
      </c>
    </row>
    <row r="43" spans="8:51">
      <c r="H43" s="41"/>
      <c r="I43" s="403"/>
      <c r="J43" s="401">
        <f t="shared" si="35"/>
        <v>0</v>
      </c>
    </row>
    <row r="44" spans="8:51">
      <c r="H44" s="398"/>
      <c r="I44" s="399"/>
      <c r="J44" s="401">
        <f t="shared" si="35"/>
        <v>0</v>
      </c>
    </row>
    <row r="45" spans="8:51">
      <c r="H45" s="398">
        <v>25</v>
      </c>
      <c r="I45" s="405">
        <v>35.75</v>
      </c>
      <c r="J45" s="401">
        <f t="shared" si="35"/>
        <v>893.75</v>
      </c>
    </row>
    <row r="46" spans="8:51">
      <c r="H46" s="15"/>
      <c r="I46" s="404"/>
      <c r="J46" s="401">
        <f t="shared" si="35"/>
        <v>0</v>
      </c>
    </row>
    <row r="47" spans="8:51">
      <c r="H47" s="398"/>
      <c r="I47" s="405"/>
      <c r="J47" s="401">
        <f t="shared" si="35"/>
        <v>0</v>
      </c>
    </row>
    <row r="48" spans="8:51">
      <c r="H48" s="342"/>
      <c r="I48" s="400"/>
      <c r="J48" s="401">
        <f t="shared" si="35"/>
        <v>0</v>
      </c>
    </row>
    <row r="50" spans="8:10">
      <c r="H50" s="342">
        <f>H41+H45</f>
        <v>125</v>
      </c>
      <c r="I50" s="400">
        <f>J50/H50</f>
        <v>31.861999999999998</v>
      </c>
      <c r="J50" s="402">
        <f>J41+J45</f>
        <v>3982.75</v>
      </c>
    </row>
    <row r="51" spans="8:10">
      <c r="H51" s="342">
        <f>H42+H46</f>
        <v>0</v>
      </c>
      <c r="I51" s="400" t="e">
        <f>J51/H51</f>
        <v>#DIV/0!</v>
      </c>
      <c r="J51" s="402">
        <f>J42+J46</f>
        <v>0</v>
      </c>
    </row>
    <row r="52" spans="8:10">
      <c r="H52" s="342">
        <f>H43+H47</f>
        <v>0</v>
      </c>
      <c r="I52" s="400" t="e">
        <f>J52/H52</f>
        <v>#DIV/0!</v>
      </c>
      <c r="J52" s="402">
        <f>J43+J47</f>
        <v>0</v>
      </c>
    </row>
    <row r="53" spans="8:10">
      <c r="H53" s="342">
        <f>H44+H48</f>
        <v>0</v>
      </c>
      <c r="I53" s="400" t="e">
        <f>J53/H53</f>
        <v>#DIV/0!</v>
      </c>
      <c r="J53" s="402">
        <f>J44+J48</f>
        <v>0</v>
      </c>
    </row>
  </sheetData>
  <autoFilter ref="A3:BD36" xr:uid="{0428720F-9028-4D6D-9843-ED7DFFC9E1CA}">
    <sortState xmlns:xlrd2="http://schemas.microsoft.com/office/spreadsheetml/2017/richdata2" ref="A4:BD36">
      <sortCondition ref="D3:D36"/>
    </sortState>
  </autoFilter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Cola_PL_Options">
                <anchor moveWithCells="1" sizeWithCells="1">
                  <from>
                    <xdr:col>58</xdr:col>
                    <xdr:colOff>228600</xdr:colOff>
                    <xdr:row>0</xdr:row>
                    <xdr:rowOff>76200</xdr:rowOff>
                  </from>
                  <to>
                    <xdr:col>60</xdr:col>
                    <xdr:colOff>514350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E0AAE-F6F2-47FF-8330-4FE090C56A0E}">
  <sheetPr codeName="Sheet6"/>
  <dimension ref="A1:AO248"/>
  <sheetViews>
    <sheetView zoomScale="80" zoomScaleNormal="80" workbookViewId="0">
      <pane xSplit="2" ySplit="3" topLeftCell="C49" activePane="bottomRight" state="frozen"/>
      <selection pane="topRight" activeCell="C1" sqref="C1"/>
      <selection pane="bottomLeft" activeCell="A4" sqref="A4"/>
      <selection pane="bottomRight" activeCell="G70" sqref="G70"/>
    </sheetView>
  </sheetViews>
  <sheetFormatPr defaultRowHeight="15" outlineLevelCol="1"/>
  <cols>
    <col min="1" max="1" width="7" customWidth="1"/>
    <col min="2" max="2" width="23" customWidth="1"/>
    <col min="3" max="3" width="9" customWidth="1" outlineLevel="1"/>
    <col min="4" max="4" width="12" customWidth="1" outlineLevel="1"/>
    <col min="5" max="5" width="6.85546875" customWidth="1" outlineLevel="1"/>
    <col min="6" max="6" width="6.140625" customWidth="1" outlineLevel="1"/>
    <col min="7" max="7" width="6.140625" customWidth="1"/>
    <col min="8" max="8" width="8.5703125" bestFit="1" customWidth="1"/>
    <col min="9" max="9" width="9.7109375" customWidth="1"/>
    <col min="10" max="10" width="9.140625" customWidth="1" outlineLevel="1"/>
    <col min="11" max="12" width="9.85546875" customWidth="1" outlineLevel="1"/>
    <col min="13" max="14" width="9.140625" customWidth="1" outlineLevel="1"/>
    <col min="15" max="15" width="9.140625" style="21" customWidth="1" outlineLevel="1"/>
    <col min="16" max="16" width="11.42578125" customWidth="1"/>
    <col min="17" max="17" width="8.28515625" customWidth="1"/>
    <col min="18" max="18" width="8.140625" bestFit="1" customWidth="1"/>
    <col min="19" max="19" width="11.7109375" customWidth="1"/>
    <col min="20" max="20" width="11.28515625" customWidth="1"/>
    <col min="21" max="21" width="8" customWidth="1"/>
    <col min="22" max="22" width="7.42578125" customWidth="1"/>
    <col min="24" max="24" width="9.140625" style="70"/>
    <col min="25" max="25" width="12.42578125" customWidth="1"/>
    <col min="26" max="26" width="9.140625" customWidth="1"/>
    <col min="27" max="27" width="8.42578125" customWidth="1"/>
    <col min="28" max="28" width="11.5703125" customWidth="1"/>
    <col min="29" max="29" width="11.140625" customWidth="1"/>
    <col min="30" max="32" width="9.140625" customWidth="1"/>
    <col min="37" max="37" width="10.140625" customWidth="1"/>
    <col min="38" max="38" width="9.140625" style="1"/>
  </cols>
  <sheetData>
    <row r="1" spans="1:41">
      <c r="I1">
        <v>5.5</v>
      </c>
      <c r="P1" s="13"/>
    </row>
    <row r="2" spans="1:41">
      <c r="H2" s="35"/>
      <c r="I2" s="63"/>
      <c r="P2" s="13"/>
      <c r="Q2" s="63"/>
      <c r="S2" s="65"/>
      <c r="T2" s="63"/>
      <c r="X2" s="31"/>
    </row>
    <row r="3" spans="1:41" s="10" customFormat="1" ht="45">
      <c r="B3" s="10" t="s">
        <v>198</v>
      </c>
      <c r="C3" s="10" t="s">
        <v>200</v>
      </c>
      <c r="D3" s="10" t="s">
        <v>201</v>
      </c>
      <c r="E3" s="10" t="s">
        <v>202</v>
      </c>
      <c r="F3" s="10" t="s">
        <v>203</v>
      </c>
      <c r="H3" s="10" t="s">
        <v>204</v>
      </c>
      <c r="I3" s="66" t="s">
        <v>178</v>
      </c>
      <c r="J3" s="66" t="s">
        <v>208</v>
      </c>
      <c r="K3" s="66" t="s">
        <v>209</v>
      </c>
      <c r="L3" s="66" t="s">
        <v>210</v>
      </c>
      <c r="M3" s="66" t="s">
        <v>211</v>
      </c>
      <c r="N3" s="59" t="s">
        <v>180</v>
      </c>
      <c r="O3" s="10" t="s">
        <v>181</v>
      </c>
      <c r="P3" s="105" t="s">
        <v>212</v>
      </c>
      <c r="Q3" s="106" t="s">
        <v>243</v>
      </c>
      <c r="R3" s="10" t="s">
        <v>125</v>
      </c>
      <c r="S3" s="10" t="s">
        <v>244</v>
      </c>
      <c r="T3" s="10" t="s">
        <v>218</v>
      </c>
      <c r="U3" s="68" t="s">
        <v>219</v>
      </c>
      <c r="V3" s="10" t="s">
        <v>1</v>
      </c>
      <c r="W3" s="10" t="s">
        <v>220</v>
      </c>
      <c r="X3" s="93" t="s">
        <v>221</v>
      </c>
      <c r="Y3" s="59" t="s">
        <v>222</v>
      </c>
      <c r="Z3" s="10" t="s">
        <v>224</v>
      </c>
      <c r="AA3" s="10" t="s">
        <v>245</v>
      </c>
      <c r="AB3" s="10" t="s">
        <v>227</v>
      </c>
      <c r="AC3" s="10" t="s">
        <v>228</v>
      </c>
      <c r="AD3" s="10" t="s">
        <v>228</v>
      </c>
      <c r="AF3" s="10">
        <v>0.25</v>
      </c>
      <c r="AL3" s="159"/>
    </row>
    <row r="4" spans="1:41">
      <c r="H4" s="107"/>
      <c r="I4" s="101"/>
      <c r="J4" s="99"/>
      <c r="K4" s="166"/>
      <c r="L4" s="166"/>
      <c r="P4" s="129"/>
      <c r="Q4" s="107"/>
      <c r="S4" s="99"/>
      <c r="T4" s="101"/>
      <c r="W4" s="99"/>
      <c r="X4" s="121"/>
      <c r="AC4" s="99"/>
      <c r="AD4" s="121"/>
    </row>
    <row r="5" spans="1:41">
      <c r="A5" s="98"/>
      <c r="B5" s="98"/>
      <c r="I5" s="63"/>
      <c r="K5" s="63">
        <f>K10-K16</f>
        <v>32.000000000000007</v>
      </c>
      <c r="P5" s="261"/>
      <c r="Q5">
        <f>Q9/Q15-1</f>
        <v>-3.5016025641025634</v>
      </c>
      <c r="T5" s="63"/>
      <c r="X5" s="121"/>
      <c r="Y5" s="13"/>
      <c r="Z5" s="3"/>
    </row>
    <row r="6" spans="1:41">
      <c r="H6">
        <v>1</v>
      </c>
      <c r="K6" s="63"/>
      <c r="P6" s="21"/>
    </row>
    <row r="7" spans="1:41">
      <c r="A7" s="97" t="s">
        <v>246</v>
      </c>
      <c r="B7" t="s">
        <v>2445</v>
      </c>
      <c r="C7" s="58" t="str" cm="1">
        <f t="array" ref="C7">_xll.BDP(B7&amp;" Equity","OPT_UNDL_TICKER")</f>
        <v>AAPL US</v>
      </c>
      <c r="D7" s="58" t="str">
        <f>_xll.BDP($B7&amp;" Index","mifid_Maturity_date")</f>
        <v>17/04/2026</v>
      </c>
      <c r="E7" s="58">
        <f>_xll.BDP($B7&amp;" Index","opt_days_expire")</f>
        <v>73</v>
      </c>
      <c r="F7" s="58" t="str" cm="1">
        <f t="array" ref="F7">_xll.BDP(B7&amp;" Equity","QUOTED_CURRENCY_REALTIME")</f>
        <v>USD</v>
      </c>
      <c r="G7" s="104" t="s">
        <v>247</v>
      </c>
      <c r="H7" s="95">
        <v>350</v>
      </c>
      <c r="I7" s="96">
        <f>IF(G7="Buy",L7,K7)</f>
        <v>18.55</v>
      </c>
      <c r="J7" s="18">
        <f>I7/S7</f>
        <v>6.8836277274751376E-2</v>
      </c>
      <c r="K7" s="35" cm="1">
        <f t="array" ref="K7">_xll.BDP($B7&amp;" Equity","bid")</f>
        <v>18.05</v>
      </c>
      <c r="L7" s="35" cm="1">
        <f t="array" ref="L7">_xll.BDP($B7&amp;" Equity","ask")</f>
        <v>18.55</v>
      </c>
      <c r="M7" s="39">
        <f>(L7/K7-1)</f>
        <v>2.7700831024930705E-2</v>
      </c>
      <c r="N7" s="35" cm="1">
        <f t="array" ref="N7">_xll.BDP(F7&amp;" Curncy","PX_LAST")</f>
        <v>1</v>
      </c>
      <c r="O7" s="161" cm="1">
        <f t="array" ref="O7">_xll.BDP(B7&amp;" Equity","OPT_MULTIPLIER")</f>
        <v>100</v>
      </c>
      <c r="P7" s="15">
        <f>IF(G7="Buy",((I7/N7)*H7*O7),((I7/N7)*-H7*O7))</f>
        <v>649250</v>
      </c>
      <c r="Q7" s="57">
        <f>P7/'Master P&amp;L'!$AD$5*10000</f>
        <v>2.8906494348644785</v>
      </c>
      <c r="R7" s="36" cm="1">
        <f t="array" ref="R7">_xll.BDP($C7&amp;" Equity","EST_PE_NXT_YR")*(T7/S7)</f>
        <v>27.994455076278161</v>
      </c>
      <c r="S7" s="35" cm="1">
        <f t="array" ref="S7">_xll.BDP(C7&amp;" Equity","LAST_PRICE")</f>
        <v>269.48</v>
      </c>
      <c r="T7" s="52" cm="1">
        <f t="array" ref="T7">_xll.BDP(B7&amp;" Equity","OPT_STRIKE_PX")</f>
        <v>260</v>
      </c>
      <c r="U7" s="39">
        <f>T7/S7-1</f>
        <v>-3.517886299539863E-2</v>
      </c>
      <c r="V7" s="36" cm="1">
        <f t="array" ref="V7">_xll.BDP($B7&amp;" Equity","ivol_mid")</f>
        <v>25.66028</v>
      </c>
      <c r="W7" s="37" cm="1">
        <f t="array" ref="W7">_xll.BDP(B7&amp;" Equity","DELTA_MID_RT")</f>
        <v>0.66735959053039551</v>
      </c>
      <c r="X7" s="47">
        <f>Y7/'Master P&amp;L'!$AE$5</f>
        <v>2.8024505385703911E-3</v>
      </c>
      <c r="Y7" s="15">
        <f>IF(G7="Sell", S7*W7*-H7*O7/N7, S7*W7*H7*O7/N7)</f>
        <v>6294402.1859645853</v>
      </c>
      <c r="Z7" s="15">
        <f>_xll.BDP($B7&amp;" Equity","opt_theta")*H7*O7/N7</f>
        <v>-2680.09</v>
      </c>
      <c r="AA7" s="18">
        <f>_xll.BDP($B7&amp;" Equity","opt_theta")/I7</f>
        <v>-4.1279784366576823E-3</v>
      </c>
      <c r="AB7" s="35" t="str" cm="1">
        <f t="array" ref="AB7">_xll.BDP($C7&amp;" Equity","EXPECTED_REPORT_DT")</f>
        <v>01/05/2026</v>
      </c>
      <c r="AC7" s="15">
        <f>S7*H7*O7/N7</f>
        <v>9431800</v>
      </c>
      <c r="AD7" s="18">
        <f>AC7/'Master P&amp;L'!$AE$5</f>
        <v>4.1993111035432866E-3</v>
      </c>
      <c r="AE7" t="str">
        <f>B7  &amp; " - Buy to open " &amp;  "-" &amp; H7 &amp;"x"</f>
        <v>AAPL US 04/17/26 C260 - Buy to open -350x</v>
      </c>
      <c r="AF7">
        <f>H7*$AF$3</f>
        <v>87.5</v>
      </c>
      <c r="AK7" t="s">
        <v>1839</v>
      </c>
      <c r="AO7" t="s">
        <v>151</v>
      </c>
    </row>
    <row r="8" spans="1:41">
      <c r="A8" s="97" t="s">
        <v>246</v>
      </c>
      <c r="B8" t="s">
        <v>2446</v>
      </c>
      <c r="C8" s="58" t="str" cm="1">
        <f t="array" ref="C8">_xll.BDP(B8&amp;" Equity","OPT_UNDL_TICKER")</f>
        <v>AAPL US</v>
      </c>
      <c r="D8" s="58" t="str" cm="1">
        <f t="array" ref="D8">_xll.BDP($B8&amp;" Index","mifid_Maturity_date")</f>
        <v>17/04/2026</v>
      </c>
      <c r="E8" s="58" cm="1">
        <f t="array" ref="E8">_xll.BDP($B8&amp;" Index","opt_days_expire")</f>
        <v>73</v>
      </c>
      <c r="F8" s="58" t="str" cm="1">
        <f t="array" ref="F8">_xll.BDP(B8&amp;" Equity","QUOTED_CURRENCY_REALTIME")</f>
        <v>USD</v>
      </c>
      <c r="G8" s="104" t="s">
        <v>248</v>
      </c>
      <c r="H8" s="95">
        <f>H7</f>
        <v>350</v>
      </c>
      <c r="I8" s="96">
        <f>IF(G8="Buy",L8,K8)</f>
        <v>7.4</v>
      </c>
      <c r="J8" s="18">
        <f>I8/S8</f>
        <v>2.7460293899361735E-2</v>
      </c>
      <c r="K8" s="35" cm="1">
        <f t="array" ref="K8">_xll.BDP($B8&amp;" Equity","bid")</f>
        <v>7.4</v>
      </c>
      <c r="L8" s="35" cm="1">
        <f t="array" ref="L8">_xll.BDP($B8&amp;" Equity","ask")</f>
        <v>7.5</v>
      </c>
      <c r="M8" s="39">
        <f>(L8/K8-1)</f>
        <v>1.3513513513513375E-2</v>
      </c>
      <c r="N8" s="35" cm="1">
        <f t="array" ref="N8">_xll.BDP(F8&amp;" Curncy","PX_LAST")</f>
        <v>1</v>
      </c>
      <c r="O8" s="161" cm="1">
        <f t="array" ref="O8">_xll.BDP(B8&amp;" Equity","OPT_MULTIPLIER")</f>
        <v>100</v>
      </c>
      <c r="P8" s="15">
        <f>IF(G8="Buy",((I8/N8)*H8*O8),((I8/N8)*-H8*O8))</f>
        <v>-259000</v>
      </c>
      <c r="Q8" s="57">
        <f>P8/'Master P&amp;L'!$AD$5*10000</f>
        <v>-1.153143170781517</v>
      </c>
      <c r="R8" s="36" cm="1">
        <f t="array" ref="R8">_xll.BDP($C8&amp;" Equity","EST_PE_NXT_YR")*(T8/S8)</f>
        <v>30.14787469753033</v>
      </c>
      <c r="S8" s="35" cm="1">
        <f t="array" ref="S8">_xll.BDP(C8&amp;" Equity","LAST_PRICE")</f>
        <v>269.48</v>
      </c>
      <c r="T8" s="52" cm="1">
        <f t="array" ref="T8">_xll.BDP(B8&amp;" Equity","OPT_STRIKE_PX")</f>
        <v>280</v>
      </c>
      <c r="U8" s="39">
        <f>T8/S8-1</f>
        <v>3.9038147543416946E-2</v>
      </c>
      <c r="V8" s="36" cm="1">
        <f t="array" ref="V8">_xll.BDP($B8&amp;" Equity","ivol_mid")</f>
        <v>23.274760000000001</v>
      </c>
      <c r="W8" s="37" cm="1">
        <f t="array" ref="W8">_xll.BDP(B8&amp;" Equity","DELTA_MID_RT")</f>
        <v>0.39976739883422852</v>
      </c>
      <c r="X8" s="47">
        <f>Y8/'Master P&amp;L'!$AE$5</f>
        <v>-1.6787476767591931E-3</v>
      </c>
      <c r="Y8" s="15">
        <f>IF(G8="Sell", S8*W8*-H8*O8/N8, S8*W8*H8*O8/N8)</f>
        <v>-3770526.1523246765</v>
      </c>
      <c r="Z8" s="15" cm="1">
        <f t="array" ref="Z8">_xll.BDP($B8&amp;" Equity","opt_theta")*H8*O8/N8</f>
        <v>-2553.5299999999997</v>
      </c>
      <c r="AA8" s="18" cm="1">
        <f t="array" ref="AA8">_xll.BDP($B8&amp;" Equity","opt_theta")/I8</f>
        <v>-9.8591891891891877E-3</v>
      </c>
      <c r="AB8" s="35" t="str" cm="1">
        <f t="array" ref="AB8">_xll.BDP($C8&amp;" Equity","EXPECTED_REPORT_DT")</f>
        <v>01/05/2026</v>
      </c>
      <c r="AC8" s="15">
        <f>S8*H8*O8/N8</f>
        <v>9431800</v>
      </c>
      <c r="AD8" s="18">
        <f>AC8/'Master P&amp;L'!$AE$5</f>
        <v>4.1993111035432866E-3</v>
      </c>
      <c r="AE8" t="str">
        <f>B8  &amp; " - Buy to open " &amp;  "-" &amp; H8 &amp;"x"</f>
        <v>AAPL US 04/17/26 C280 - Buy to open -350x</v>
      </c>
      <c r="AF8">
        <f>H8*$AF$3</f>
        <v>87.5</v>
      </c>
      <c r="AK8" t="s">
        <v>1842</v>
      </c>
      <c r="AO8" t="s">
        <v>151</v>
      </c>
    </row>
    <row r="9" spans="1:41">
      <c r="H9" s="99" t="s">
        <v>116</v>
      </c>
      <c r="I9" s="101">
        <f>I7-I8</f>
        <v>11.15</v>
      </c>
      <c r="J9" s="99" t="s">
        <v>249</v>
      </c>
      <c r="K9" s="100">
        <f>K8/L7</f>
        <v>0.39892183288409705</v>
      </c>
      <c r="P9" s="99" t="s">
        <v>250</v>
      </c>
      <c r="Q9" s="107">
        <f>Q7+Q8</f>
        <v>1.7375062640829615</v>
      </c>
      <c r="S9" s="99" t="s">
        <v>251</v>
      </c>
      <c r="T9" s="101">
        <f>T8-T7</f>
        <v>20</v>
      </c>
      <c r="W9" s="99" t="s">
        <v>252</v>
      </c>
      <c r="X9" s="121">
        <f>X7+X8</f>
        <v>1.123702861811198E-3</v>
      </c>
      <c r="Y9" s="13">
        <f>Y7+Y8</f>
        <v>2523876.0336399088</v>
      </c>
      <c r="AC9" s="99" t="s">
        <v>229</v>
      </c>
      <c r="AD9" s="121">
        <f>AD7</f>
        <v>4.1993111035432866E-3</v>
      </c>
      <c r="AO9" t="s">
        <v>151</v>
      </c>
    </row>
    <row r="10" spans="1:41">
      <c r="H10" s="99" t="s">
        <v>253</v>
      </c>
      <c r="I10" s="101">
        <f>(T9-I9)/I9</f>
        <v>0.79372197309417036</v>
      </c>
      <c r="J10" s="99" t="s">
        <v>145</v>
      </c>
      <c r="K10" s="218">
        <f>AVERAGE(K7:L7)-AVERAGE(K8:L8)</f>
        <v>10.850000000000001</v>
      </c>
      <c r="L10" s="17"/>
      <c r="P10" s="129">
        <f>P7+P8</f>
        <v>390250</v>
      </c>
      <c r="Q10" s="107"/>
      <c r="S10" s="99"/>
      <c r="T10" s="101"/>
      <c r="W10" s="99"/>
      <c r="X10" s="121"/>
      <c r="Y10" s="13">
        <f>Y9/S7</f>
        <v>9365.7267093658484</v>
      </c>
      <c r="AC10" s="99"/>
      <c r="AD10" s="103"/>
      <c r="AH10">
        <v>4</v>
      </c>
      <c r="AI10">
        <v>4</v>
      </c>
    </row>
    <row r="11" spans="1:41">
      <c r="H11" s="13"/>
      <c r="I11" s="20"/>
      <c r="J11" s="42">
        <f>J7-J8</f>
        <v>4.1375983375389641E-2</v>
      </c>
      <c r="K11" s="166">
        <f>K7-K8</f>
        <v>10.65</v>
      </c>
      <c r="L11" s="166">
        <f>L7-L8</f>
        <v>11.05</v>
      </c>
      <c r="P11" s="39">
        <f>P10/Y9</f>
        <v>0.1546232837106446</v>
      </c>
      <c r="Q11" s="63">
        <f>Q9*I10</f>
        <v>1.3790969001914088</v>
      </c>
      <c r="W11" s="49"/>
      <c r="Y11" s="3"/>
      <c r="AH11">
        <f>AH10*AH12</f>
        <v>30.799999999999997</v>
      </c>
      <c r="AI11">
        <f>AI10*AI12</f>
        <v>29.36</v>
      </c>
      <c r="AJ11">
        <f>AH11-AI11</f>
        <v>1.4399999999999977</v>
      </c>
    </row>
    <row r="12" spans="1:41">
      <c r="J12" s="42"/>
      <c r="L12" s="63"/>
      <c r="X12" s="127">
        <f>X172</f>
        <v>8.5250115817639264E-4</v>
      </c>
      <c r="AH12">
        <f>AH13-AH14</f>
        <v>7.6999999999999993</v>
      </c>
      <c r="AI12">
        <f>AI13-AI14</f>
        <v>7.34</v>
      </c>
    </row>
    <row r="13" spans="1:41">
      <c r="A13" s="97" t="s">
        <v>246</v>
      </c>
      <c r="B13" s="72" t="s">
        <v>2444</v>
      </c>
      <c r="C13" s="58" t="str" cm="1">
        <f t="array" ref="C13">_xll.BDP(B13&amp;" Equity","OPT_UNDL_TICKER")</f>
        <v>META US</v>
      </c>
      <c r="D13" s="58" t="str" cm="1">
        <f t="array" ref="D13">_xll.BDP($B13&amp;" Index","mifid_Maturity_date")</f>
        <v>17/07/2026</v>
      </c>
      <c r="E13" s="58" cm="1">
        <f t="array" ref="E13">_xll.BDP($B13&amp;" Index","opt_days_expire")</f>
        <v>164</v>
      </c>
      <c r="F13" s="58" t="str" cm="1">
        <f t="array" ref="F13">_xll.BDP(B13&amp;" Equity","QUOTED_CURRENCY_REALTIME")</f>
        <v>USD</v>
      </c>
      <c r="G13" s="104" t="s">
        <v>247</v>
      </c>
      <c r="H13" s="95">
        <v>75</v>
      </c>
      <c r="I13" s="96">
        <f>IF(G13="Buy",L13,K13)</f>
        <v>42.15</v>
      </c>
      <c r="J13" s="18">
        <f>I13/S13</f>
        <v>6.0936822321815812E-2</v>
      </c>
      <c r="K13" s="35" cm="1">
        <f t="array" ref="K13">_xll.BDP($B13&amp;" Equity","bid")</f>
        <v>41.8</v>
      </c>
      <c r="L13" s="35" cm="1">
        <f t="array" ref="L13">_xll.BDP($B13&amp;" Equity","ask")</f>
        <v>42.15</v>
      </c>
      <c r="M13" s="39">
        <f>(L13/K13-1)</f>
        <v>8.3732057416268102E-3</v>
      </c>
      <c r="N13" s="35" cm="1">
        <f t="array" ref="N13">_xll.BDP(F13&amp;" Curncy","PX_LAST")</f>
        <v>1</v>
      </c>
      <c r="O13" s="161" cm="1">
        <f t="array" ref="O13">_xll.BDP(B13&amp;" Equity","OPT_MULTIPLIER")</f>
        <v>100</v>
      </c>
      <c r="P13" s="15">
        <f>IF(G13="Buy",((I13/N13)*H13*O13),((I13/N13)*-H13*O13))</f>
        <v>316125</v>
      </c>
      <c r="Q13" s="57">
        <f>P13/'Master P&amp;L'!$AD$5*10000</f>
        <v>1.4074802504374788</v>
      </c>
      <c r="R13" s="36" cm="1">
        <f t="array" ref="R13">_xll.BDP($C13&amp;" Equity","EST_PE_NXT_YR")*(T13/S13)</f>
        <v>19.905489271675105</v>
      </c>
      <c r="S13" s="35" cm="1">
        <f t="array" ref="S13">_xll.BDP(C13&amp;" Equity","LAST_PRICE")</f>
        <v>691.7</v>
      </c>
      <c r="T13" s="52" cm="1">
        <f t="array" ref="T13">_xll.BDP(B13&amp;" Equity","OPT_STRIKE_PX")</f>
        <v>750</v>
      </c>
      <c r="U13" s="39">
        <f>T13/S13-1</f>
        <v>8.428509469423151E-2</v>
      </c>
      <c r="V13" s="36" cm="1">
        <f t="array" ref="V13">_xll.BDP($B13&amp;" Equity","ivol_mid")</f>
        <v>32.981969999999997</v>
      </c>
      <c r="W13" s="37" cm="1">
        <f t="array" ref="W13">_xll.BDP(B13&amp;" Equity","DELTA_MID_RT")</f>
        <v>0.42677441239356995</v>
      </c>
      <c r="X13" s="47">
        <f>Y13/'Master P&amp;L'!$AE$5</f>
        <v>9.8573659398213027E-4</v>
      </c>
      <c r="Y13" s="15">
        <f>IF(G13="Sell", S13*W13*-H13*O13/N13, S13*W13*H13*O13/N13)</f>
        <v>2213998.9578947425</v>
      </c>
      <c r="Z13" s="15" cm="1">
        <f t="array" ref="Z13">_xll.BDP($B13&amp;" Equity","opt_theta")*H13*O13/N13</f>
        <v>-1371.7950000000001</v>
      </c>
      <c r="AA13" s="18" cm="1">
        <f t="array" ref="AA13">_xll.BDP($B13&amp;" Equity","opt_theta")/I13</f>
        <v>-4.3394068801897992E-3</v>
      </c>
      <c r="AB13" s="35" t="str" cm="1">
        <f t="array" ref="AB13">_xll.BDP($C13&amp;" Equity","EXPECTED_REPORT_DT")</f>
        <v>30/04/2026</v>
      </c>
      <c r="AC13" s="15">
        <f>S13*H13*O13/N13</f>
        <v>5187750</v>
      </c>
      <c r="AD13" s="18">
        <f>AC13/'Master P&amp;L'!$AE$5</f>
        <v>2.309736866494909E-3</v>
      </c>
      <c r="AE13" t="str">
        <f>B13  &amp; " - Buy to open " &amp;  "-" &amp; H13 &amp;"x"</f>
        <v>META US 07/17/26 C750 - Buy to open -75x</v>
      </c>
      <c r="AF13">
        <f>H13*$AF$3</f>
        <v>18.75</v>
      </c>
      <c r="AH13">
        <v>20.9</v>
      </c>
      <c r="AI13">
        <v>20.2</v>
      </c>
      <c r="AJ13" s="63"/>
      <c r="AK13" t="s">
        <v>1840</v>
      </c>
    </row>
    <row r="14" spans="1:41">
      <c r="A14" s="97" t="s">
        <v>246</v>
      </c>
      <c r="B14" t="s">
        <v>2398</v>
      </c>
      <c r="C14" s="58" t="str" cm="1">
        <f t="array" ref="C14">_xll.BDP(B14&amp;" Equity","OPT_UNDL_TICKER")</f>
        <v>META US</v>
      </c>
      <c r="D14" s="58" t="str" cm="1">
        <f t="array" ref="D14">_xll.BDP($B14&amp;" Index","mifid_Maturity_date")</f>
        <v>17/07/2026</v>
      </c>
      <c r="E14" s="58" cm="1">
        <f t="array" ref="E14">_xll.BDP($B14&amp;" Index","opt_days_expire")</f>
        <v>164</v>
      </c>
      <c r="F14" s="58" t="str" cm="1">
        <f t="array" ref="F14">_xll.BDP(B14&amp;" Equity","QUOTED_CURRENCY_REALTIME")</f>
        <v>USD</v>
      </c>
      <c r="G14" s="104" t="s">
        <v>248</v>
      </c>
      <c r="H14" s="95">
        <f>H13</f>
        <v>75</v>
      </c>
      <c r="I14" s="96">
        <f>IF(G14="Buy",L14,K14)</f>
        <v>62.95</v>
      </c>
      <c r="J14" s="18">
        <f>I14/S14</f>
        <v>9.1007662281335833E-2</v>
      </c>
      <c r="K14" s="35" cm="1">
        <f t="array" ref="K14">_xll.BDP($B14&amp;" Equity","bid")</f>
        <v>62.95</v>
      </c>
      <c r="L14" s="35" cm="1">
        <f t="array" ref="L14">_xll.BDP($B14&amp;" Equity","ask")</f>
        <v>63.3</v>
      </c>
      <c r="M14" s="39">
        <f>(L14/K14-1)</f>
        <v>5.5599682287528207E-3</v>
      </c>
      <c r="N14" s="35" cm="1">
        <f t="array" ref="N14">_xll.BDP(F14&amp;" Curncy","PX_LAST")</f>
        <v>1</v>
      </c>
      <c r="O14" s="161" cm="1">
        <f t="array" ref="O14">_xll.BDP(B14&amp;" Equity","OPT_MULTIPLIER")</f>
        <v>100</v>
      </c>
      <c r="P14" s="15">
        <f>IF(G14="Buy",((I14/N14)*H14*O14),((I14/N14)*-H14*O14))</f>
        <v>-472125</v>
      </c>
      <c r="Q14" s="57">
        <f>P14/'Master P&amp;L'!$AD$5*10000</f>
        <v>-2.1020375270471958</v>
      </c>
      <c r="R14" s="36" cm="1">
        <f t="array" ref="R14">_xll.BDP($C14&amp;" Equity","EST_PE_NXT_YR")*(T14/S14)</f>
        <v>18.578456653563428</v>
      </c>
      <c r="S14" s="35" cm="1">
        <f t="array" ref="S14">_xll.BDP(C14&amp;" Equity","LAST_PRICE")</f>
        <v>691.7</v>
      </c>
      <c r="T14" s="52" cm="1">
        <f t="array" ref="T14">_xll.BDP(B14&amp;" Equity","OPT_STRIKE_PX")</f>
        <v>700</v>
      </c>
      <c r="U14" s="39">
        <f>T14/S14-1</f>
        <v>1.1999421714615988E-2</v>
      </c>
      <c r="V14" s="36" cm="1">
        <f t="array" ref="V14">_xll.BDP($B14&amp;" Equity","ivol_mid")</f>
        <v>33.557969999999997</v>
      </c>
      <c r="W14" s="37" cm="1">
        <f t="array" ref="W14">_xll.BDP(B14&amp;" Equity","DELTA_MID_RT")</f>
        <v>0.55253177881240845</v>
      </c>
      <c r="X14" s="47">
        <f>Y14/'Master P&amp;L'!$AE$5</f>
        <v>-1.2762030194330305E-3</v>
      </c>
      <c r="Y14" s="15">
        <f>IF(G14="Sell", S14*W14*-H14*O14/N14, S14*W14*H14*O14/N14)</f>
        <v>-2866396.7355340719</v>
      </c>
      <c r="Z14" s="15" cm="1">
        <f t="array" ref="Z14">_xll.BDP($B14&amp;" Equity","opt_theta")*H14*O14/N14</f>
        <v>-1419.69</v>
      </c>
      <c r="AA14" s="18" cm="1">
        <f t="array" ref="AA14">_xll.BDP($B14&amp;" Equity","opt_theta")/I14</f>
        <v>-3.0070214455917392E-3</v>
      </c>
      <c r="AB14" s="35" t="str" cm="1">
        <f t="array" ref="AB14">_xll.BDP($C14&amp;" Equity","EXPECTED_REPORT_DT")</f>
        <v>30/04/2026</v>
      </c>
      <c r="AC14" s="15">
        <f>S14*H14*O14/N14</f>
        <v>5187750</v>
      </c>
      <c r="AD14" s="18">
        <f>AC14/'Master P&amp;L'!$AE$5</f>
        <v>2.309736866494909E-3</v>
      </c>
      <c r="AE14" t="str">
        <f>B14  &amp; " - Buy to open " &amp;  "-" &amp; H14 &amp;"x"</f>
        <v>META US 07/17/26 C700 - Buy to open -75x</v>
      </c>
      <c r="AF14">
        <f>H14*$AF$3</f>
        <v>18.75</v>
      </c>
      <c r="AH14">
        <v>13.2</v>
      </c>
      <c r="AI14">
        <v>12.86</v>
      </c>
      <c r="AJ14" s="63"/>
      <c r="AK14" t="s">
        <v>1841</v>
      </c>
    </row>
    <row r="15" spans="1:41">
      <c r="H15" s="99" t="s">
        <v>116</v>
      </c>
      <c r="I15" s="101">
        <f>I13-I14</f>
        <v>-20.800000000000004</v>
      </c>
      <c r="J15" s="99" t="s">
        <v>249</v>
      </c>
      <c r="K15" s="100">
        <f>K14/L13</f>
        <v>1.4934756820877819</v>
      </c>
      <c r="P15" s="99" t="s">
        <v>250</v>
      </c>
      <c r="Q15" s="107">
        <f>Q13+Q14</f>
        <v>-0.694557276609717</v>
      </c>
      <c r="S15" s="99" t="s">
        <v>251</v>
      </c>
      <c r="T15" s="101">
        <f>T14-T13</f>
        <v>-50</v>
      </c>
      <c r="W15" s="99" t="s">
        <v>252</v>
      </c>
      <c r="X15" s="121">
        <f>X13+X14</f>
        <v>-2.9046642545090028E-4</v>
      </c>
      <c r="Y15" s="13">
        <f>Y13+Y14</f>
        <v>-652397.77763932943</v>
      </c>
      <c r="AC15" s="99" t="s">
        <v>229</v>
      </c>
      <c r="AD15" s="103">
        <f>AD13</f>
        <v>2.309736866494909E-3</v>
      </c>
    </row>
    <row r="16" spans="1:41">
      <c r="H16" s="99" t="s">
        <v>253</v>
      </c>
      <c r="I16" s="101">
        <f>(T15-I15)/I15</f>
        <v>1.4038461538461533</v>
      </c>
      <c r="J16" s="99" t="s">
        <v>145</v>
      </c>
      <c r="K16" s="218">
        <f>AVERAGE(K13:L13)-AVERAGE(K14:L14)</f>
        <v>-21.150000000000006</v>
      </c>
      <c r="P16" s="129">
        <f>P13+P14</f>
        <v>-156000</v>
      </c>
      <c r="Q16" s="107"/>
      <c r="S16" s="99"/>
      <c r="T16" s="101"/>
      <c r="W16" s="107">
        <f>1/(W13-W14)</f>
        <v>-7.951820465685258</v>
      </c>
      <c r="X16" s="121"/>
      <c r="Y16" s="13">
        <f>Y15/S13</f>
        <v>-943.18024814128864</v>
      </c>
      <c r="AC16" s="99"/>
      <c r="AD16" s="103"/>
    </row>
    <row r="17" spans="1:38">
      <c r="I17" s="20"/>
      <c r="J17" s="42">
        <f>J13-J14</f>
        <v>-3.0070839959520021E-2</v>
      </c>
      <c r="K17" s="166">
        <f>K13-K14</f>
        <v>-21.150000000000006</v>
      </c>
      <c r="L17" s="166">
        <f>L13-L14</f>
        <v>-21.15</v>
      </c>
      <c r="P17" s="39">
        <f>P16/Y15</f>
        <v>0.23911792061045736</v>
      </c>
      <c r="Q17" s="63">
        <f>Q15*I16</f>
        <v>-0.97505156139441007</v>
      </c>
      <c r="W17" s="49"/>
      <c r="X17" s="47"/>
      <c r="Y17" s="3"/>
      <c r="Z17" s="17"/>
    </row>
    <row r="18" spans="1:38">
      <c r="G18">
        <f>H19/25</f>
        <v>20</v>
      </c>
      <c r="H18" s="13">
        <v>1.5</v>
      </c>
      <c r="K18" s="343">
        <f>K10-K16</f>
        <v>32.000000000000007</v>
      </c>
      <c r="AK18">
        <v>13</v>
      </c>
      <c r="AL18" s="1">
        <v>16</v>
      </c>
    </row>
    <row r="19" spans="1:38">
      <c r="A19" s="97" t="s">
        <v>246</v>
      </c>
      <c r="B19" s="72" t="s">
        <v>2227</v>
      </c>
      <c r="C19" s="58" t="str">
        <f>_xll.BDP(B19&amp;" Equity","OPT_UNDL_TICKER")</f>
        <v>TSM US</v>
      </c>
      <c r="D19" s="58" t="str">
        <f>_xll.BDP($B19&amp;" Index","mifid_Maturity_date")</f>
        <v>17/07/2026</v>
      </c>
      <c r="E19" s="58">
        <f>_xll.BDP($B19&amp;" Index","opt_days_expire")</f>
        <v>164</v>
      </c>
      <c r="F19" s="58" t="str">
        <f>_xll.BDP(B19&amp;" Equity","QUOTED_CURRENCY_REALTIME")</f>
        <v>USD</v>
      </c>
      <c r="G19" s="104" t="s">
        <v>247</v>
      </c>
      <c r="H19" s="95">
        <v>500</v>
      </c>
      <c r="I19" s="96">
        <f>IF(G19="Buy",L19,K19)</f>
        <v>37.299999999999997</v>
      </c>
      <c r="J19" s="18">
        <f>I19/S19</f>
        <v>0.11109456440804169</v>
      </c>
      <c r="K19" s="35">
        <f>_xll.BDP($B19&amp;" Equity","bid")</f>
        <v>36.549999999999997</v>
      </c>
      <c r="L19" s="35">
        <f>_xll.BDP($B19&amp;" Equity","ask")</f>
        <v>37.299999999999997</v>
      </c>
      <c r="M19" s="39">
        <f>(L19/K19-1)</f>
        <v>2.0519835841313228E-2</v>
      </c>
      <c r="N19" s="35" cm="1">
        <f t="array" ref="N19">_xll.BDP(F19&amp;" Curncy","PX_LAST")</f>
        <v>1</v>
      </c>
      <c r="O19" s="161">
        <f>_xll.BDP(B19&amp;" Equity","OPT_MULTIPLIER")</f>
        <v>100</v>
      </c>
      <c r="P19" s="15">
        <f>IF(G19="Buy",((I19/N19)*H19*O19),((I19/N19)*-H19*O19))</f>
        <v>1865000</v>
      </c>
      <c r="Q19" s="57">
        <f>P19/'Master P&amp;L'!$AD$5*10000</f>
        <v>8.303521287673858</v>
      </c>
      <c r="R19" s="36" cm="1">
        <f t="array" ref="R19">_xll.BDP($C19&amp;" Equity","EST_PE_NXT_YR")*(T19/S19)</f>
        <v>19.548664236036284</v>
      </c>
      <c r="S19" s="35" cm="1">
        <f t="array" ref="S19">_xll.BDP(C19&amp;" Equity","LAST_PRICE")</f>
        <v>335.75</v>
      </c>
      <c r="T19" s="52">
        <f>_xll.BDP(B19&amp;" Equity","OPT_STRIKE_PX")</f>
        <v>340</v>
      </c>
      <c r="U19" s="39">
        <f>T19/S19-1</f>
        <v>1.2658227848101333E-2</v>
      </c>
      <c r="V19" s="36">
        <f>_xll.BDP($B19&amp;" Equity","ivol_mid")</f>
        <v>41.029670000000003</v>
      </c>
      <c r="W19" s="37">
        <f>_xll.BDP(B19&amp;" Equity","DELTA_MID_RT")</f>
        <v>0.55772542953491211</v>
      </c>
      <c r="X19" s="47">
        <f>Y19/'Master P&amp;L'!$AE$5</f>
        <v>4.1685972680090572E-3</v>
      </c>
      <c r="Y19" s="15">
        <f>IF(G19="Sell", S19*W19*-H19*O19/N19, S19*W19*H19*O19/N19)</f>
        <v>9362815.648317337</v>
      </c>
      <c r="Z19" s="15" cm="1">
        <f t="array" ref="Z19">_xll.BDP($B19&amp;" Equity","opt_theta")*H19*O19/N19</f>
        <v>-5579.45</v>
      </c>
      <c r="AA19" s="18" cm="1">
        <f t="array" ref="AA19">_xll.BDP($B19&amp;" Equity","opt_theta")/I19</f>
        <v>-2.9916621983914209E-3</v>
      </c>
      <c r="AB19" s="35" t="str" cm="1">
        <f t="array" ref="AB19">_xll.BDP($C19&amp;" Equity","EXPECTED_REPORT_DT")</f>
        <v>17/04/2026</v>
      </c>
      <c r="AC19" s="15">
        <f>S19*H19*O19/N19</f>
        <v>16787500</v>
      </c>
      <c r="AD19" s="18">
        <f>AC19/'Master P&amp;L'!$AE$5</f>
        <v>7.474282231465141E-3</v>
      </c>
      <c r="AE19" t="str">
        <f>B19  &amp; " - Buy to open " &amp;  "-" &amp; H19 &amp;"x"</f>
        <v>TSM US 07/17/26 C340 - Buy to open -500x</v>
      </c>
      <c r="AH19">
        <v>37.35</v>
      </c>
      <c r="AI19">
        <v>36.799999999999997</v>
      </c>
      <c r="AJ19">
        <f>AH19-AI19</f>
        <v>0.55000000000000426</v>
      </c>
      <c r="AK19">
        <v>15</v>
      </c>
      <c r="AL19" s="1">
        <v>20</v>
      </c>
    </row>
    <row r="20" spans="1:38">
      <c r="A20" s="97" t="s">
        <v>246</v>
      </c>
      <c r="B20" s="72" t="s">
        <v>2228</v>
      </c>
      <c r="C20" s="58" t="str" cm="1">
        <f t="array" ref="C20">_xll.BDP(B20&amp;" Equity","OPT_UNDL_TICKER")</f>
        <v>TSM US</v>
      </c>
      <c r="D20" s="58" t="str" cm="1">
        <f t="array" ref="D20">_xll.BDP($B20&amp;" Index","mifid_Maturity_date")</f>
        <v>17/07/2026</v>
      </c>
      <c r="E20" s="58" cm="1">
        <f t="array" ref="E20">_xll.BDP($B20&amp;" Index","opt_days_expire")</f>
        <v>164</v>
      </c>
      <c r="F20" s="58" t="str" cm="1">
        <f t="array" ref="F20">_xll.BDP(B20&amp;" Equity","QUOTED_CURRENCY_REALTIME")</f>
        <v>USD</v>
      </c>
      <c r="G20" s="104" t="s">
        <v>248</v>
      </c>
      <c r="H20" s="95">
        <f>H19</f>
        <v>500</v>
      </c>
      <c r="I20" s="96">
        <f>IF(G20="Buy",L20,K20)</f>
        <v>21.65</v>
      </c>
      <c r="J20" s="18">
        <f>I20/S20</f>
        <v>6.4482501861504088E-2</v>
      </c>
      <c r="K20" s="35" cm="1">
        <f t="array" ref="K20">_xll.BDP($B20&amp;" Equity","bid")</f>
        <v>21.65</v>
      </c>
      <c r="L20" s="35" cm="1">
        <f t="array" ref="L20">_xll.BDP($B20&amp;" Equity","ask")</f>
        <v>23.15</v>
      </c>
      <c r="M20" s="39">
        <f>(L20/K20-1)</f>
        <v>6.9284064665126932E-2</v>
      </c>
      <c r="N20" s="35" cm="1">
        <f t="array" ref="N20">_xll.BDP(F20&amp;" Curncy","PX_LAST")</f>
        <v>1</v>
      </c>
      <c r="O20" s="161" cm="1">
        <f t="array" ref="O20">_xll.BDP(B20&amp;" Equity","OPT_MULTIPLIER")</f>
        <v>100</v>
      </c>
      <c r="P20" s="15">
        <f>IF(G20="Buy",((I20/N20)*H20*O20),((I20/N20)*-H20*O20))</f>
        <v>-1082500</v>
      </c>
      <c r="Q20" s="57">
        <f>P20/'Master P&amp;L'!$AD$5*10000</f>
        <v>-4.8196041790385795</v>
      </c>
      <c r="R20" s="36" cm="1">
        <f t="array" ref="R20">_xll.BDP($C20&amp;" Equity","EST_PE_NXT_YR")*(T20/S20)</f>
        <v>21.848507087334667</v>
      </c>
      <c r="S20" s="35" cm="1">
        <f t="array" ref="S20">_xll.BDP(C20&amp;" Equity","LAST_PRICE")</f>
        <v>335.75</v>
      </c>
      <c r="T20" s="52" cm="1">
        <f t="array" ref="T20">_xll.BDP(B20&amp;" Equity","OPT_STRIKE_PX")</f>
        <v>380</v>
      </c>
      <c r="U20" s="39">
        <f>T20/S20-1</f>
        <v>0.13179448994787779</v>
      </c>
      <c r="V20" s="36" cm="1">
        <f t="array" ref="V20">_xll.BDP($B20&amp;" Equity","ivol_mid")</f>
        <v>41.116459999999996</v>
      </c>
      <c r="W20" s="37" cm="1">
        <f t="array" ref="W20">_xll.BDP(B20&amp;" Equity","DELTA_MID_RT")</f>
        <v>0.39778581261634827</v>
      </c>
      <c r="X20" s="47">
        <f>Y20/'Master P&amp;L'!$AE$5</f>
        <v>-2.9731634311672942E-3</v>
      </c>
      <c r="Y20" s="15">
        <f>IF(G20="Sell", S20*W20*-H20*O20/N20, S20*W20*H20*O20/N20)</f>
        <v>-6677829.3292969465</v>
      </c>
      <c r="Z20" s="15" cm="1">
        <f t="array" ref="Z20">_xll.BDP($B20&amp;" Equity","opt_theta")*H20*O20/N20</f>
        <v>-5330.3</v>
      </c>
      <c r="AA20" s="18" cm="1">
        <f t="array" ref="AA20">_xll.BDP($B20&amp;" Equity","opt_theta")/I20</f>
        <v>-4.9240646651270217E-3</v>
      </c>
      <c r="AB20" s="35" t="str" cm="1">
        <f t="array" ref="AB20">_xll.BDP($C20&amp;" Equity","EXPECTED_REPORT_DT")</f>
        <v>17/04/2026</v>
      </c>
      <c r="AC20" s="15">
        <f>S20*H20*O20/N20</f>
        <v>16787500</v>
      </c>
      <c r="AD20" s="18">
        <f>AC20/'Master P&amp;L'!$AE$5</f>
        <v>7.474282231465141E-3</v>
      </c>
      <c r="AE20" t="str">
        <f>B20  &amp; " - Buy to open " &amp;  "-" &amp; H20 &amp;"x"</f>
        <v>TSM US 07/17/26 C380 - Buy to open -500x</v>
      </c>
      <c r="AH20">
        <v>37.35</v>
      </c>
      <c r="AI20">
        <v>36.799999999999997</v>
      </c>
      <c r="AJ20">
        <f>AH20-AI20</f>
        <v>0.55000000000000426</v>
      </c>
      <c r="AK20">
        <v>15</v>
      </c>
      <c r="AL20" s="1">
        <v>20</v>
      </c>
    </row>
    <row r="21" spans="1:38">
      <c r="H21" s="99" t="s">
        <v>116</v>
      </c>
      <c r="I21" s="101">
        <f>I19-I20</f>
        <v>15.649999999999999</v>
      </c>
      <c r="J21" s="99" t="s">
        <v>249</v>
      </c>
      <c r="K21" s="100">
        <f>K20/L19</f>
        <v>0.58042895442359255</v>
      </c>
      <c r="P21" s="99" t="s">
        <v>250</v>
      </c>
      <c r="Q21" s="107">
        <f>Q19+Q20</f>
        <v>3.4839171086352785</v>
      </c>
      <c r="S21" s="99" t="s">
        <v>251</v>
      </c>
      <c r="T21" s="101">
        <f>T20-T19</f>
        <v>40</v>
      </c>
      <c r="W21" s="99" t="s">
        <v>252</v>
      </c>
      <c r="X21" s="121">
        <f>X19+X20</f>
        <v>1.1954338368417631E-3</v>
      </c>
      <c r="Y21" s="13">
        <f>Y19+Y20</f>
        <v>2684986.3190203905</v>
      </c>
      <c r="AC21" s="99" t="s">
        <v>229</v>
      </c>
      <c r="AD21" s="103">
        <f>AD19</f>
        <v>7.474282231465141E-3</v>
      </c>
      <c r="AK21">
        <f>$AJ$20/AK19</f>
        <v>3.6666666666666951E-2</v>
      </c>
      <c r="AL21">
        <f>$AJ$20/AL19</f>
        <v>2.7500000000000212E-2</v>
      </c>
    </row>
    <row r="22" spans="1:38">
      <c r="H22" s="99" t="s">
        <v>253</v>
      </c>
      <c r="I22" s="101">
        <f>(T21-I21)/I21</f>
        <v>1.5559105431309908</v>
      </c>
      <c r="J22" s="99" t="s">
        <v>145</v>
      </c>
      <c r="K22" s="218">
        <f>AVERAGE(K19:L19)-AVERAGE(K20:L20)</f>
        <v>14.524999999999999</v>
      </c>
      <c r="P22" s="129">
        <f>P19+P20</f>
        <v>782500</v>
      </c>
      <c r="Q22" s="107"/>
      <c r="S22" s="99"/>
      <c r="T22" s="101"/>
      <c r="W22" s="99"/>
      <c r="X22" s="121"/>
      <c r="Y22" s="3">
        <f>Y21/S19</f>
        <v>7996.9808459281921</v>
      </c>
      <c r="AC22" s="99"/>
      <c r="AD22" s="103"/>
    </row>
    <row r="23" spans="1:38">
      <c r="I23" s="63">
        <f>I20*2</f>
        <v>43.3</v>
      </c>
      <c r="K23" s="166">
        <f>K19-K20</f>
        <v>14.899999999999999</v>
      </c>
      <c r="L23" s="166">
        <f>L19-L20</f>
        <v>14.149999999999999</v>
      </c>
      <c r="P23" s="39">
        <f>P22/Y21</f>
        <v>0.29143537695398497</v>
      </c>
      <c r="AG23" s="166"/>
      <c r="AH23" s="166"/>
      <c r="AJ23">
        <v>165</v>
      </c>
      <c r="AK23">
        <v>7</v>
      </c>
      <c r="AL23" s="1">
        <v>8</v>
      </c>
    </row>
    <row r="24" spans="1:38">
      <c r="A24">
        <v>285</v>
      </c>
      <c r="H24" s="13"/>
      <c r="K24" s="233">
        <v>8.4</v>
      </c>
      <c r="L24" s="233"/>
      <c r="S24">
        <v>181</v>
      </c>
      <c r="W24" s="49"/>
      <c r="AK24">
        <f>$AJ$23/AK23</f>
        <v>23.571428571428573</v>
      </c>
      <c r="AL24">
        <f>$AJ$23/AL23</f>
        <v>20.625</v>
      </c>
    </row>
    <row r="25" spans="1:38">
      <c r="A25">
        <v>285</v>
      </c>
      <c r="H25" s="13"/>
      <c r="I25" t="e">
        <f>I26/I27</f>
        <v>#VALUE!</v>
      </c>
      <c r="K25" s="233"/>
      <c r="L25" s="233"/>
      <c r="W25" s="49"/>
    </row>
    <row r="26" spans="1:38">
      <c r="A26" s="422">
        <f>A24-H26</f>
        <v>210</v>
      </c>
      <c r="B26" s="72" t="s">
        <v>2466</v>
      </c>
      <c r="C26" t="str" cm="1">
        <f t="array" ref="C26">_xll.BDP(B26&amp;" Equity","OPT_UNDL_TICKER")</f>
        <v>#N/A Invalid Security</v>
      </c>
      <c r="D26" t="str" cm="1">
        <f t="array" ref="D26">_xll.BDP($B26&amp;" Index","mifid_Maturity_date")</f>
        <v>#N/A Invalid Security</v>
      </c>
      <c r="E26" t="str" cm="1">
        <f t="array" ref="E26">_xll.BDP($B26&amp;" Index","opt_days_expire")</f>
        <v>#N/A Invalid Security</v>
      </c>
      <c r="F26" t="str" cm="1">
        <f t="array" ref="F26">_xll.BDP(B26&amp;" Equity","QUOTED_CURRENCY_REALTIME")</f>
        <v>#N/A Invalid Security</v>
      </c>
      <c r="G26" s="104" t="s">
        <v>248</v>
      </c>
      <c r="H26" s="95">
        <v>75</v>
      </c>
      <c r="I26" s="96" t="str">
        <f>IF(G26="Buy",L26,K26)</f>
        <v>#N/A Invalid Security</v>
      </c>
      <c r="J26" s="18" t="e">
        <f>I26/S26</f>
        <v>#VALUE!</v>
      </c>
      <c r="K26" s="35" t="str" cm="1">
        <f t="array" ref="K26">_xll.BDP($B26&amp;" Equity","bid")</f>
        <v>#N/A Invalid Security</v>
      </c>
      <c r="L26" s="35" t="str" cm="1">
        <f t="array" ref="L26">_xll.BDP($B26&amp;" Equity","ask")</f>
        <v>#N/A Invalid Security</v>
      </c>
      <c r="M26" s="39" t="e">
        <f>(L26/K26-1)</f>
        <v>#VALUE!</v>
      </c>
      <c r="N26" s="35" t="str" cm="1">
        <f t="array" ref="N26">_xll.BDP(F26&amp;" Curncy","PX_LAST")</f>
        <v>#N/A Invalid Security Curncy</v>
      </c>
      <c r="O26" s="161" t="str" cm="1">
        <f t="array" ref="O26">_xll.BDP(B26&amp;" Equity","OPT_MULTIPLIER")</f>
        <v>#N/A Invalid Security</v>
      </c>
      <c r="P26" s="15" t="e">
        <f>IF(G26="Buy",((I26/N26)*H26*O26),((I26/N26)*-H26*O26))</f>
        <v>#VALUE!</v>
      </c>
      <c r="Q26" s="57" t="e">
        <f>P26/'Master P&amp;L'!$AD$5*10000</f>
        <v>#VALUE!</v>
      </c>
      <c r="R26" s="36" t="e" cm="1">
        <f t="array" ref="R26">_xll.BDP($C26&amp;" Equity","EST_PE_NXT_YR")*(T26/S26)</f>
        <v>#VALUE!</v>
      </c>
      <c r="S26" s="35" t="str" cm="1">
        <f t="array" ref="S26">_xll.BDP(C26&amp;" Equity","LAST_PRICE")</f>
        <v>#N/A Invalid Security Equity</v>
      </c>
      <c r="T26" s="52" t="str" cm="1">
        <f t="array" ref="T26">_xll.BDP(B26&amp;" Equity","OPT_STRIKE_PX")</f>
        <v>#N/A Invalid Security</v>
      </c>
      <c r="U26" s="39" t="e">
        <f>T26/S26-1</f>
        <v>#VALUE!</v>
      </c>
      <c r="V26" s="36" t="str" cm="1">
        <f t="array" ref="V26">_xll.BDP($B26&amp;" Equity","ivol_mid")</f>
        <v>#N/A Invalid Security</v>
      </c>
      <c r="W26" s="37" t="str" cm="1">
        <f t="array" ref="W26">_xll.BDP(B26&amp;" Equity","DELTA_MID_RT")</f>
        <v>#N/A Invalid Security</v>
      </c>
      <c r="X26" s="47" t="e">
        <f>Y26/'Master P&amp;L'!$AE$5</f>
        <v>#VALUE!</v>
      </c>
      <c r="Y26" s="15" t="e">
        <f>IF(G26="Sell", S26*W26*-H26*O26/N26, S26*W26*H26*O26/N26)</f>
        <v>#VALUE!</v>
      </c>
      <c r="Z26" s="15" t="e" cm="1">
        <f t="array" ref="Z26">_xll.BDP($B26&amp;" Equity","opt_theta")*H26*O26/N26</f>
        <v>#VALUE!</v>
      </c>
      <c r="AA26" s="18" t="e" cm="1">
        <f t="array" ref="AA26">_xll.BDP($B26&amp;" Equity","opt_theta")/I26</f>
        <v>#VALUE!</v>
      </c>
      <c r="AB26" s="35" t="str" cm="1">
        <f t="array" ref="AB26">_xll.BDP($C26&amp;" Equity","EXPECTED_REPORT_DT")</f>
        <v>#N/A Invalid Security Equity</v>
      </c>
      <c r="AC26" s="15" t="e">
        <f>S26*H26*O26/N26</f>
        <v>#VALUE!</v>
      </c>
      <c r="AD26" s="18" t="e">
        <f>AC26/'Master P&amp;L'!$AE$5</f>
        <v>#VALUE!</v>
      </c>
      <c r="AE26" t="str">
        <f>B26  &amp; " - Buy to open " &amp;  "-" &amp; H26 &amp;"x"</f>
        <v>CSCO US 07/17/26 C670 - Buy to open -75x</v>
      </c>
    </row>
    <row r="27" spans="1:38">
      <c r="A27" s="422">
        <f>A25-H27</f>
        <v>210</v>
      </c>
      <c r="B27" s="72" t="s">
        <v>2398</v>
      </c>
      <c r="C27" t="str" cm="1">
        <f t="array" ref="C27">_xll.BDP(B27&amp;" Equity","OPT_UNDL_TICKER")</f>
        <v>META US</v>
      </c>
      <c r="D27" t="str" cm="1">
        <f t="array" ref="D27">_xll.BDP($B27&amp;" Index","mifid_Maturity_date")</f>
        <v>17/07/2026</v>
      </c>
      <c r="E27" cm="1">
        <f t="array" ref="E27">_xll.BDP($B27&amp;" Index","opt_days_expire")</f>
        <v>164</v>
      </c>
      <c r="F27" t="str" cm="1">
        <f t="array" ref="F27">_xll.BDP(B27&amp;" Equity","QUOTED_CURRENCY_REALTIME")</f>
        <v>USD</v>
      </c>
      <c r="G27" s="104" t="s">
        <v>247</v>
      </c>
      <c r="H27" s="95">
        <f>H26</f>
        <v>75</v>
      </c>
      <c r="I27" s="96">
        <f>IF(G27="Buy",L27,K27)</f>
        <v>63.3</v>
      </c>
      <c r="J27" s="18">
        <f>I27/S27</f>
        <v>9.1513661992193143E-2</v>
      </c>
      <c r="K27" s="35" cm="1">
        <f t="array" ref="K27">_xll.BDP($B27&amp;" Equity","bid")</f>
        <v>62.95</v>
      </c>
      <c r="L27" s="35" cm="1">
        <f t="array" ref="L27">_xll.BDP($B27&amp;" Equity","ask")</f>
        <v>63.3</v>
      </c>
      <c r="M27" s="39">
        <f>(L27/K27-1)</f>
        <v>5.5599682287528207E-3</v>
      </c>
      <c r="N27" s="35" cm="1">
        <f t="array" ref="N27">_xll.BDP(F27&amp;" Curncy","PX_LAST")</f>
        <v>1</v>
      </c>
      <c r="O27" s="161" cm="1">
        <f t="array" ref="O27">_xll.BDP(B27&amp;" Equity","OPT_MULTIPLIER")</f>
        <v>100</v>
      </c>
      <c r="P27" s="15">
        <f>IF(G27="Buy",((I27/N27)*H27*O27),((I27/N27)*-H27*O27))</f>
        <v>474750</v>
      </c>
      <c r="Q27" s="57">
        <f>P27/'Master P&amp;L'!$AD$5*10000</f>
        <v>2.1137247889132245</v>
      </c>
      <c r="R27" s="36" cm="1">
        <f t="array" ref="R27">_xll.BDP($C27&amp;" Equity","EST_PE_NXT_YR")*(T27/S27)</f>
        <v>18.578456653563428</v>
      </c>
      <c r="S27" s="35" cm="1">
        <f t="array" ref="S27">_xll.BDP(C27&amp;" Equity","LAST_PRICE")</f>
        <v>691.7</v>
      </c>
      <c r="T27" s="52" cm="1">
        <f t="array" ref="T27">_xll.BDP(B27&amp;" Equity","OPT_STRIKE_PX")</f>
        <v>700</v>
      </c>
      <c r="U27" s="39">
        <f>T27/S27-1</f>
        <v>1.1999421714615988E-2</v>
      </c>
      <c r="V27" s="36" cm="1">
        <f t="array" ref="V27">_xll.BDP($B27&amp;" Equity","ivol_mid")</f>
        <v>33.557969999999997</v>
      </c>
      <c r="W27" s="37" cm="1">
        <f t="array" ref="W27">_xll.BDP(B27&amp;" Equity","DELTA_MID_RT")</f>
        <v>0.55253177881240845</v>
      </c>
      <c r="X27" s="47">
        <f>Y27/'Master P&amp;L'!$AE$5</f>
        <v>1.2762030194330305E-3</v>
      </c>
      <c r="Y27" s="15">
        <f>IF(G27="Sell", S27*W27*-H27*O27/N27, S27*W27*H27*O27/N27)</f>
        <v>2866396.7355340719</v>
      </c>
      <c r="Z27" s="15" cm="1">
        <f t="array" ref="Z27">_xll.BDP($B27&amp;" Equity","opt_theta")*H27*O27/N27</f>
        <v>-1419.69</v>
      </c>
      <c r="AA27" s="18" cm="1">
        <f t="array" ref="AA27">_xll.BDP($B27&amp;" Equity","opt_theta")/I27</f>
        <v>-2.9903949447077408E-3</v>
      </c>
      <c r="AB27" s="35" t="str" cm="1">
        <f t="array" ref="AB27">_xll.BDP($C27&amp;" Equity","EXPECTED_REPORT_DT")</f>
        <v>30/04/2026</v>
      </c>
      <c r="AC27" s="15">
        <f>S27*H27*O27/N27</f>
        <v>5187750</v>
      </c>
      <c r="AD27" s="18">
        <f>AC27/'Master P&amp;L'!$AE$5</f>
        <v>2.309736866494909E-3</v>
      </c>
      <c r="AE27" t="str">
        <f>B27  &amp; " - Buy to open " &amp;  "-" &amp; H27 &amp;"x"</f>
        <v>META US 07/17/26 C700 - Buy to open -75x</v>
      </c>
    </row>
    <row r="28" spans="1:38">
      <c r="H28" s="99" t="s">
        <v>116</v>
      </c>
      <c r="I28" s="101" t="e">
        <f>I26-I27</f>
        <v>#VALUE!</v>
      </c>
      <c r="J28" s="99" t="s">
        <v>249</v>
      </c>
      <c r="K28" s="100" t="e">
        <f>K27/L26</f>
        <v>#VALUE!</v>
      </c>
      <c r="P28" s="99" t="s">
        <v>250</v>
      </c>
      <c r="Q28" s="102" t="e">
        <f>Q26+Q27</f>
        <v>#VALUE!</v>
      </c>
      <c r="S28" s="99" t="s">
        <v>251</v>
      </c>
      <c r="T28" s="101" t="e">
        <f>T27-T26</f>
        <v>#VALUE!</v>
      </c>
      <c r="W28" s="99" t="s">
        <v>252</v>
      </c>
      <c r="X28" s="121" t="e">
        <f>X26+X27</f>
        <v>#VALUE!</v>
      </c>
      <c r="Y28" s="13" t="e">
        <f>Y26+Y27</f>
        <v>#VALUE!</v>
      </c>
      <c r="AC28" s="99" t="s">
        <v>229</v>
      </c>
      <c r="AD28" s="103" t="e">
        <f>AD26</f>
        <v>#VALUE!</v>
      </c>
    </row>
    <row r="29" spans="1:38">
      <c r="A29" s="13">
        <f>A27-A26</f>
        <v>0</v>
      </c>
      <c r="H29" s="99" t="s">
        <v>253</v>
      </c>
      <c r="I29" s="101" t="e">
        <f>(T28-I28)/I28</f>
        <v>#VALUE!</v>
      </c>
      <c r="J29" s="99" t="s">
        <v>145</v>
      </c>
      <c r="K29" s="108" t="e">
        <f>AVERAGE(K26:L26)-AVERAGE(K27:L27)</f>
        <v>#DIV/0!</v>
      </c>
      <c r="P29" s="129" t="e">
        <f>P26+P27</f>
        <v>#VALUE!</v>
      </c>
      <c r="Q29" s="107"/>
      <c r="S29" s="99"/>
      <c r="T29" s="101"/>
      <c r="W29" s="99"/>
      <c r="X29" s="121"/>
      <c r="Y29" s="13"/>
      <c r="AC29" s="99"/>
      <c r="AD29" s="103"/>
    </row>
    <row r="30" spans="1:38">
      <c r="I30" s="20" t="e">
        <f>I28/S26</f>
        <v>#VALUE!</v>
      </c>
      <c r="K30" s="166" t="e">
        <f>K26-K27</f>
        <v>#VALUE!</v>
      </c>
      <c r="L30" s="166" t="e">
        <f>L26-L27</f>
        <v>#VALUE!</v>
      </c>
      <c r="P30" s="39" t="e">
        <f>P29/Y28</f>
        <v>#VALUE!</v>
      </c>
      <c r="X30" s="3" t="e">
        <f>Y30/I28</f>
        <v>#VALUE!</v>
      </c>
      <c r="Y30" s="8" t="e">
        <f>Y28/S26</f>
        <v>#VALUE!</v>
      </c>
      <c r="AG30" s="166"/>
      <c r="AH30" s="166"/>
    </row>
    <row r="31" spans="1:38">
      <c r="K31" s="63" t="e">
        <f>I27*2-I26</f>
        <v>#VALUE!</v>
      </c>
      <c r="L31" s="63"/>
      <c r="P31" s="20"/>
      <c r="AG31" s="63"/>
      <c r="AH31" s="63"/>
    </row>
    <row r="32" spans="1:38">
      <c r="H32" s="270"/>
      <c r="J32" s="42"/>
      <c r="P32" s="20"/>
    </row>
    <row r="33" spans="1:38">
      <c r="A33" s="97" t="s">
        <v>246</v>
      </c>
      <c r="B33" s="72" t="s">
        <v>2386</v>
      </c>
      <c r="C33" t="str" cm="1">
        <f t="array" ref="C33">_xll.BDP(B33&amp;" Equity","OPT_UNDL_TICKER")</f>
        <v>NVDA US</v>
      </c>
      <c r="D33" t="str" cm="1">
        <f t="array" ref="D33">_xll.BDP($B33&amp;" Index","mifid_Maturity_date")</f>
        <v>06/02/2026</v>
      </c>
      <c r="E33" cm="1">
        <f t="array" ref="E33">_xll.BDP($B33&amp;" Index","opt_days_expire")</f>
        <v>3</v>
      </c>
      <c r="F33" t="str" cm="1">
        <f t="array" ref="F33">_xll.BDP(B33&amp;" Equity","QUOTED_CURRENCY_REALTIME")</f>
        <v>USD</v>
      </c>
      <c r="G33" s="104" t="s">
        <v>247</v>
      </c>
      <c r="H33" s="95">
        <v>2000</v>
      </c>
      <c r="I33" s="96">
        <f>IF(G33="Buy",L33,K33)</f>
        <v>0.12</v>
      </c>
      <c r="J33" s="18">
        <f>I33/S33</f>
        <v>6.6540978152378834E-4</v>
      </c>
      <c r="K33" s="35" cm="1">
        <f t="array" ref="K33">_xll.BDP($B33&amp;" Equity","bid")</f>
        <v>0.11</v>
      </c>
      <c r="L33" s="35" cm="1">
        <f t="array" ref="L33">_xll.BDP($B33&amp;" Equity","ask")</f>
        <v>0.12</v>
      </c>
      <c r="M33" s="39">
        <f>(L33/K33-1)</f>
        <v>9.0909090909090828E-2</v>
      </c>
      <c r="N33" s="35" cm="1">
        <f t="array" ref="N33">_xll.BDP(F33&amp;" Curncy","PX_LAST")</f>
        <v>1</v>
      </c>
      <c r="O33" s="161" cm="1">
        <f t="array" ref="O33">_xll.BDP(B33&amp;" Equity","OPT_MULTIPLIER")</f>
        <v>100</v>
      </c>
      <c r="P33" s="15">
        <f>IF(G33="Buy",((I33/N33)*H33*O33),((I33/N33)*-H33*O33))</f>
        <v>24000</v>
      </c>
      <c r="Q33" s="57">
        <f>P33/'Master P&amp;L'!$AD$5*10000</f>
        <v>0.10685496563226411</v>
      </c>
      <c r="R33" s="36" cm="1">
        <f t="array" ref="R33">_xll.BDP($C33&amp;" Equity","EST_PE_NXT_YR")*(T33/S33)</f>
        <v>25.448090121641624</v>
      </c>
      <c r="S33" s="35">
        <f>_xll.BDP(C33&amp;" Equity","LAST_PRICE")</f>
        <v>180.34</v>
      </c>
      <c r="T33" s="52" cm="1">
        <f t="array" ref="T33">_xll.BDP(B33&amp;" Equity","OPT_STRIKE_PX")</f>
        <v>197.5</v>
      </c>
      <c r="U33" s="39">
        <f>T33/S33-1</f>
        <v>9.5153598757901747E-2</v>
      </c>
      <c r="V33" s="36" cm="1">
        <f t="array" ref="V33">_xll.BDP($B33&amp;" Equity","ivol_mid")</f>
        <v>44.750540000000001</v>
      </c>
      <c r="W33" s="37" cm="1">
        <f t="array" ref="W33">_xll.BDP(B33&amp;" Equity","DELTA_MID_RT")</f>
        <v>3.3714059740304947E-2</v>
      </c>
      <c r="X33" s="47">
        <f>Y33/'Master P&amp;L'!$AE$5</f>
        <v>5.4139791672803874E-4</v>
      </c>
      <c r="Y33" s="15">
        <f>IF(G33="Sell", S33*W33*-H33*O33/N33, S33*W33*H33*O33/N33)</f>
        <v>1215998.7067133188</v>
      </c>
      <c r="Z33" s="15" cm="1">
        <f t="array" ref="Z33">_xll.BDP($B33&amp;" Equity","opt_theta")*H33*O33/N33</f>
        <v>-11436</v>
      </c>
      <c r="AA33" s="18" cm="1">
        <f t="array" ref="AA33">_xll.BDP($B33&amp;" Equity","opt_theta")/I33</f>
        <v>-0.47650000000000003</v>
      </c>
      <c r="AB33" s="35" t="str" cm="1">
        <f t="array" ref="AB33">_xll.BDP($C33&amp;" Equity","EXPECTED_REPORT_DT")</f>
        <v>25/02/2026</v>
      </c>
      <c r="AC33" s="15">
        <f>S33*H33*O33/N33</f>
        <v>36068000</v>
      </c>
      <c r="AD33" s="18">
        <f>AC33/'Master P&amp;L'!$AE$5</f>
        <v>1.6058520418435425E-2</v>
      </c>
      <c r="AE33" t="str">
        <f>B33  &amp; " - Buy to open " &amp;  "-" &amp; H33 &amp;"x"</f>
        <v>NVDA US 02/06/26 C197.5 - Buy to open -2000x</v>
      </c>
    </row>
    <row r="34" spans="1:38">
      <c r="A34" s="97" t="s">
        <v>246</v>
      </c>
      <c r="B34" s="72" t="s">
        <v>2387</v>
      </c>
      <c r="C34" t="str" cm="1">
        <f t="array" ref="C34">_xll.BDP(B34&amp;" Equity","OPT_UNDL_TICKER")</f>
        <v>NVDA US</v>
      </c>
      <c r="D34" t="str" cm="1">
        <f t="array" ref="D34">_xll.BDP($B34&amp;" Index","mifid_Maturity_date")</f>
        <v>13/02/2026</v>
      </c>
      <c r="E34" cm="1">
        <f t="array" ref="E34">_xll.BDP($B34&amp;" Index","opt_days_expire")</f>
        <v>10</v>
      </c>
      <c r="F34" t="str" cm="1">
        <f t="array" ref="F34">_xll.BDP(B34&amp;" Equity","QUOTED_CURRENCY_REALTIME")</f>
        <v>USD</v>
      </c>
      <c r="G34" s="104" t="s">
        <v>248</v>
      </c>
      <c r="H34" s="95">
        <f>H33</f>
        <v>2000</v>
      </c>
      <c r="I34" s="96">
        <f>IF(G34="Buy",L34,K34)</f>
        <v>0.28999999999999998</v>
      </c>
      <c r="J34" s="18">
        <f>I34/S34</f>
        <v>1.6080736386824884E-3</v>
      </c>
      <c r="K34" s="35" cm="1">
        <f t="array" ref="K34">_xll.BDP($B34&amp;" Equity","bid")</f>
        <v>0.28999999999999998</v>
      </c>
      <c r="L34" s="35" cm="1">
        <f t="array" ref="L34">_xll.BDP($B34&amp;" Equity","ask")</f>
        <v>0.31</v>
      </c>
      <c r="M34" s="39">
        <f>(L34/K34-1)</f>
        <v>6.8965517241379448E-2</v>
      </c>
      <c r="N34" s="35" cm="1">
        <f t="array" ref="N34">_xll.BDP(F34&amp;" Curncy","PX_LAST")</f>
        <v>1</v>
      </c>
      <c r="O34" s="161" cm="1">
        <f t="array" ref="O34">_xll.BDP(B34&amp;" Equity","OPT_MULTIPLIER")</f>
        <v>100</v>
      </c>
      <c r="P34" s="15">
        <f>IF(G34="Buy",((I34/N34)*H34*O34),((I34/N34)*-H34*O34))</f>
        <v>-58000</v>
      </c>
      <c r="Q34" s="57">
        <f>P34/'Master P&amp;L'!$AD$5*10000</f>
        <v>-0.25823283361130495</v>
      </c>
      <c r="R34" s="36" cm="1">
        <f t="array" ref="R34">_xll.BDP($C34&amp;" Equity","EST_PE_NXT_YR")*(T34/S34)</f>
        <v>26.092345567759132</v>
      </c>
      <c r="S34" s="35">
        <f>_xll.BDP(C34&amp;" Equity","LAST_PRICE")</f>
        <v>180.34</v>
      </c>
      <c r="T34" s="52" cm="1">
        <f t="array" ref="T34">_xll.BDP(B34&amp;" Equity","OPT_STRIKE_PX")</f>
        <v>202.5</v>
      </c>
      <c r="U34" s="39">
        <f>T34/S34-1</f>
        <v>0.12287900632139293</v>
      </c>
      <c r="V34" s="36" cm="1">
        <f t="array" ref="V34">_xll.BDP($B34&amp;" Equity","ivol_mid")</f>
        <v>40.220820000000003</v>
      </c>
      <c r="W34" s="37" cm="1">
        <f t="array" ref="W34">_xll.BDP(B34&amp;" Equity","DELTA_MID_RT")</f>
        <v>5.6520238518714905E-2</v>
      </c>
      <c r="X34" s="47">
        <f>Y34/'Master P&amp;L'!$AE$5</f>
        <v>-9.0763140430762394E-4</v>
      </c>
      <c r="Y34" s="15">
        <f>IF(G34="Sell", S34*W34*-H34*O34/N34, S34*W34*H34*O34/N34)</f>
        <v>-2038571.9628930097</v>
      </c>
      <c r="Z34" s="15" cm="1">
        <f t="array" ref="Z34">_xll.BDP($B34&amp;" Equity","opt_theta")*H34*O34/N34</f>
        <v>-12158.800000000001</v>
      </c>
      <c r="AA34" s="18" cm="1">
        <f t="array" ref="AA34">_xll.BDP($B34&amp;" Equity","opt_theta")/I34</f>
        <v>-0.2096344827586207</v>
      </c>
      <c r="AB34" s="35" t="str" cm="1">
        <f t="array" ref="AB34">_xll.BDP($C34&amp;" Equity","EXPECTED_REPORT_DT")</f>
        <v>25/02/2026</v>
      </c>
      <c r="AC34" s="15">
        <f>S34*H34*O34/N34</f>
        <v>36068000</v>
      </c>
      <c r="AD34" s="18">
        <f>AC34/'Master P&amp;L'!$AE$5</f>
        <v>1.6058520418435425E-2</v>
      </c>
      <c r="AE34" t="str">
        <f>B34  &amp; " - Buy to open " &amp;  "-" &amp; H34 &amp;"x"</f>
        <v>NVDA US 02/13/26 C202.5 - Buy to open -2000x</v>
      </c>
    </row>
    <row r="35" spans="1:38">
      <c r="H35" s="99" t="s">
        <v>116</v>
      </c>
      <c r="I35" s="217">
        <f>I33-I34</f>
        <v>-0.16999999999999998</v>
      </c>
      <c r="J35" s="99" t="s">
        <v>249</v>
      </c>
      <c r="K35" s="100">
        <f>K34/L33</f>
        <v>2.4166666666666665</v>
      </c>
      <c r="P35" s="99" t="s">
        <v>250</v>
      </c>
      <c r="Q35" s="102">
        <f>Q33+Q34</f>
        <v>-0.15137786797904085</v>
      </c>
      <c r="S35" s="99" t="s">
        <v>251</v>
      </c>
      <c r="T35" s="101">
        <f>T34-T33</f>
        <v>5</v>
      </c>
      <c r="W35" s="99" t="s">
        <v>252</v>
      </c>
      <c r="X35" s="121">
        <f>X33+X34</f>
        <v>-3.662334875795852E-4</v>
      </c>
      <c r="Y35" s="13">
        <f>Y33+Y34</f>
        <v>-822573.25617969083</v>
      </c>
      <c r="AC35" s="99" t="s">
        <v>229</v>
      </c>
      <c r="AD35" s="103">
        <f>AD33</f>
        <v>1.6058520418435425E-2</v>
      </c>
    </row>
    <row r="36" spans="1:38">
      <c r="H36" s="99" t="s">
        <v>253</v>
      </c>
      <c r="I36" s="101">
        <f>(T35-I35)/I35</f>
        <v>-30.411764705882355</v>
      </c>
      <c r="J36" s="99" t="s">
        <v>145</v>
      </c>
      <c r="K36" s="108">
        <f>AVERAGE(K33:L33)-AVERAGE(K34:L34)</f>
        <v>-0.185</v>
      </c>
      <c r="P36" s="129">
        <f>P33+P34</f>
        <v>-34000</v>
      </c>
      <c r="Q36" s="107"/>
      <c r="S36" s="99"/>
      <c r="T36" s="101"/>
      <c r="W36" s="99"/>
      <c r="X36" s="121"/>
      <c r="Y36" s="13">
        <f>Y35/S33</f>
        <v>-4561.2357556819943</v>
      </c>
      <c r="AC36" s="99"/>
      <c r="AD36" s="103"/>
    </row>
    <row r="37" spans="1:38">
      <c r="I37" s="20">
        <f>I35/S33</f>
        <v>-9.4266385715870008E-4</v>
      </c>
      <c r="K37" s="63">
        <f>(2*I33)-(I34*3)</f>
        <v>-0.62999999999999989</v>
      </c>
      <c r="P37" s="261">
        <f>P36/I35/100</f>
        <v>2000.0000000000002</v>
      </c>
      <c r="W37" s="49">
        <f>W33-W34</f>
        <v>-2.2806178778409958E-2</v>
      </c>
    </row>
    <row r="38" spans="1:38">
      <c r="H38">
        <v>1</v>
      </c>
      <c r="J38" s="42">
        <f>J39-J40</f>
        <v>3.3270489076189411E-4</v>
      </c>
      <c r="P38" s="13"/>
    </row>
    <row r="39" spans="1:38">
      <c r="A39" s="275">
        <f>S39-T39</f>
        <v>-14.659999999999997</v>
      </c>
      <c r="B39" s="72" t="s">
        <v>2435</v>
      </c>
      <c r="C39" t="str" cm="1">
        <f t="array" ref="C39">_xll.BDP(B39&amp;" Equity","OPT_UNDL_TICKER")</f>
        <v>NVDA US</v>
      </c>
      <c r="D39" t="str" cm="1">
        <f t="array" ref="D39">_xll.BDP($B39&amp;" Index","mifid_Maturity_date")</f>
        <v>06/02/2026</v>
      </c>
      <c r="E39" cm="1">
        <f t="array" ref="E39">_xll.BDP($B39&amp;" Index","opt_days_expire")</f>
        <v>3</v>
      </c>
      <c r="F39" t="str" cm="1">
        <f t="array" ref="F39">_xll.BDP(B39&amp;" Equity","QUOTED_CURRENCY_REALTIME")</f>
        <v>USD</v>
      </c>
      <c r="G39" s="104" t="s">
        <v>247</v>
      </c>
      <c r="H39" s="95">
        <v>50</v>
      </c>
      <c r="I39" s="219">
        <f>IF(G39="Buy",L39,K39)</f>
        <v>0.18</v>
      </c>
      <c r="J39" s="18">
        <f>I39/S39</f>
        <v>9.9811467228568245E-4</v>
      </c>
      <c r="K39" s="35" cm="1">
        <f t="array" ref="K39">_xll.BDP($B39&amp;" Equity","bid")</f>
        <v>0.17</v>
      </c>
      <c r="L39" s="35" cm="1">
        <f t="array" ref="L39">_xll.BDP($B39&amp;" Equity","ask")</f>
        <v>0.18</v>
      </c>
      <c r="M39" s="39">
        <f>(L39/K39-1)</f>
        <v>5.8823529411764497E-2</v>
      </c>
      <c r="N39" s="35" cm="1">
        <f t="array" ref="N39">_xll.BDP(F39&amp;" Curncy","PX_LAST")</f>
        <v>1</v>
      </c>
      <c r="O39" s="161" cm="1">
        <f t="array" ref="O39">_xll.BDP(B39&amp;" Equity","OPT_MULTIPLIER")</f>
        <v>100</v>
      </c>
      <c r="P39" s="15">
        <f>IF(G39="Buy",((I39/N39)*H39*O39),((I39/N39)*-H39*O39))</f>
        <v>900</v>
      </c>
      <c r="Q39" s="57">
        <f>P39/'Master P&amp;L'!$AD$5*10000</f>
        <v>4.0070612112099047E-3</v>
      </c>
      <c r="R39" s="36" cm="1">
        <f t="array" ref="R39">_xll.BDP($C39&amp;" Equity","EST_PE_NXT_YR")*(T39/S39)</f>
        <v>25.125962398582868</v>
      </c>
      <c r="S39" s="35" cm="1">
        <f t="array" ref="S39">_xll.BDP(C39&amp;" Equity","LAST_PRICE")</f>
        <v>180.34</v>
      </c>
      <c r="T39" s="52" cm="1">
        <f t="array" ref="T39">_xll.BDP(B39&amp;" Equity","OPT_STRIKE_PX")</f>
        <v>195</v>
      </c>
      <c r="U39" s="39">
        <f>T39/S39-1</f>
        <v>8.1290894976156158E-2</v>
      </c>
      <c r="V39" s="36" cm="1">
        <f t="array" ref="V39">_xll.BDP($B39&amp;" Equity","ivol_mid")</f>
        <v>43.19435</v>
      </c>
      <c r="W39" s="37" cm="1">
        <f t="array" ref="W39">_xll.BDP(B39&amp;" Equity","DELTA_MID_RT")</f>
        <v>5.0438199192285538E-2</v>
      </c>
      <c r="X39" s="47">
        <f>Y39/'Master P&amp;L'!$AE$5</f>
        <v>2.0249071289960763E-5</v>
      </c>
      <c r="Y39" s="15">
        <f>IF(G39="Sell", S39*W39*-H39*O39/N39, S39*W39*H39*O39/N39)</f>
        <v>45480.124211683869</v>
      </c>
      <c r="Z39" s="15" cm="1">
        <f t="array" ref="Z39">_xll.BDP($B39&amp;" Equity","opt_theta")*H39*O39/N39</f>
        <v>-435.20000000000005</v>
      </c>
      <c r="AA39" s="18" cm="1">
        <f t="array" ref="AA39">_xll.BDP($B39&amp;" Equity","opt_theta")/I39</f>
        <v>-0.48355555555555563</v>
      </c>
      <c r="AB39" s="35" t="str" cm="1">
        <f t="array" ref="AB39">_xll.BDP($C39&amp;" Equity","EXPECTED_REPORT_DT")</f>
        <v>25/02/2026</v>
      </c>
      <c r="AC39" s="15">
        <f>S39*H39*O39/N39</f>
        <v>901700</v>
      </c>
      <c r="AD39" s="18">
        <f>AC39/'Master P&amp;L'!$AE$5</f>
        <v>4.0146301046088565E-4</v>
      </c>
      <c r="AE39" t="str">
        <f>B39  &amp; " - Buy to open " &amp;  "-" &amp; H39 &amp;"x"</f>
        <v>NVDA US 02/06/26 C195 - Buy to open -50x</v>
      </c>
    </row>
    <row r="40" spans="1:38">
      <c r="A40" s="275">
        <f>S40-T40</f>
        <v>-29.659999999999997</v>
      </c>
      <c r="B40" s="72" t="s">
        <v>2385</v>
      </c>
      <c r="C40" t="str" cm="1">
        <f t="array" ref="C40">_xll.BDP(B40&amp;" Equity","OPT_UNDL_TICKER")</f>
        <v>NVDA US</v>
      </c>
      <c r="D40" t="str" cm="1">
        <f t="array" ref="D40">_xll.BDP($B40&amp;" Index","mifid_Maturity_date")</f>
        <v>13/02/2026</v>
      </c>
      <c r="E40" cm="1">
        <f t="array" ref="E40">_xll.BDP($B40&amp;" Index","opt_days_expire")</f>
        <v>10</v>
      </c>
      <c r="F40" t="str" cm="1">
        <f t="array" ref="F40">_xll.BDP(B40&amp;" Equity","QUOTED_CURRENCY_REALTIME")</f>
        <v>USD</v>
      </c>
      <c r="G40" s="104" t="s">
        <v>248</v>
      </c>
      <c r="H40" s="95">
        <f>H39</f>
        <v>50</v>
      </c>
      <c r="I40" s="219">
        <f>IF(G40="Buy",L40,K40)</f>
        <v>0.12</v>
      </c>
      <c r="J40" s="18">
        <f>I40/S40</f>
        <v>6.6540978152378834E-4</v>
      </c>
      <c r="K40" s="35" cm="1">
        <f t="array" ref="K40">_xll.BDP($B40&amp;" Equity","bid")</f>
        <v>0.12</v>
      </c>
      <c r="L40" s="35" cm="1">
        <f t="array" ref="L40">_xll.BDP($B40&amp;" Equity","ask")</f>
        <v>0.13</v>
      </c>
      <c r="M40" s="39">
        <f>(L40/K40-1)</f>
        <v>8.3333333333333481E-2</v>
      </c>
      <c r="N40" s="35" cm="1">
        <f t="array" ref="N40">_xll.BDP(F40&amp;" Curncy","PX_LAST")</f>
        <v>1</v>
      </c>
      <c r="O40" s="161" cm="1">
        <f t="array" ref="O40">_xll.BDP(B40&amp;" Equity","OPT_MULTIPLIER")</f>
        <v>100</v>
      </c>
      <c r="P40" s="15">
        <f>IF(G40="Buy",((I40/N40)*H40*O40),((I40/N40)*-H40*O40))</f>
        <v>-600</v>
      </c>
      <c r="Q40" s="57">
        <f>P40/'Master P&amp;L'!$AD$5*10000</f>
        <v>-2.6713741408066027E-3</v>
      </c>
      <c r="R40" s="36" cm="1">
        <f t="array" ref="R40">_xll.BDP($C40&amp;" Equity","EST_PE_NXT_YR")*(T40/S40)</f>
        <v>27.058728736935397</v>
      </c>
      <c r="S40" s="35" cm="1">
        <f t="array" ref="S40">_xll.BDP(C40&amp;" Equity","LAST_PRICE")</f>
        <v>180.34</v>
      </c>
      <c r="T40" s="52" cm="1">
        <f t="array" ref="T40">_xll.BDP(B40&amp;" Equity","OPT_STRIKE_PX")</f>
        <v>210</v>
      </c>
      <c r="U40" s="39">
        <f>T40/S40-1</f>
        <v>0.16446711766662969</v>
      </c>
      <c r="V40" s="36" cm="1">
        <f t="array" ref="V40">_xll.BDP($B40&amp;" Equity","ivol_mid")</f>
        <v>42.269469999999998</v>
      </c>
      <c r="W40" s="37" cm="1">
        <f t="array" ref="W40">_xll.BDP(B40&amp;" Equity","DELTA_MID_RT")</f>
        <v>2.4896902963519096E-2</v>
      </c>
      <c r="X40" s="47">
        <f>Y40/'Master P&amp;L'!$AE$5</f>
        <v>-9.9951856148869233E-6</v>
      </c>
      <c r="Y40" s="15">
        <f>IF(G40="Sell", S40*W40*-H40*O40/N40, S40*W40*H40*O40/N40)</f>
        <v>-22449.537402205173</v>
      </c>
      <c r="Z40" s="15" cm="1">
        <f t="array" ref="Z40">_xll.BDP($B40&amp;" Equity","opt_theta")*H40*O40/N40</f>
        <v>-155.57</v>
      </c>
      <c r="AA40" s="18" cm="1">
        <f t="array" ref="AA40">_xll.BDP($B40&amp;" Equity","opt_theta")/I40</f>
        <v>-0.25928333333333331</v>
      </c>
      <c r="AB40" s="35" t="str" cm="1">
        <f t="array" ref="AB40">_xll.BDP($C40&amp;" Equity","EXPECTED_REPORT_DT")</f>
        <v>25/02/2026</v>
      </c>
      <c r="AC40" s="15">
        <f>S40*H40*O40/N40</f>
        <v>901700</v>
      </c>
      <c r="AD40" s="18">
        <f>AC40/'Master P&amp;L'!$AE$5</f>
        <v>4.0146301046088565E-4</v>
      </c>
      <c r="AE40" t="str">
        <f>B40  &amp; " - Buy to open " &amp;  "-" &amp; H40 &amp;"x"</f>
        <v>NVDA US 02/13/26 C210 - Buy to open -50x</v>
      </c>
    </row>
    <row r="41" spans="1:38">
      <c r="H41" s="99" t="s">
        <v>116</v>
      </c>
      <c r="I41" s="217">
        <f>I39-I40</f>
        <v>0.06</v>
      </c>
      <c r="J41" s="99" t="s">
        <v>249</v>
      </c>
      <c r="K41" s="100">
        <f>K40/L39</f>
        <v>0.66666666666666663</v>
      </c>
      <c r="P41" s="99" t="s">
        <v>250</v>
      </c>
      <c r="Q41" s="107">
        <f>Q39+Q40</f>
        <v>1.335687070403302E-3</v>
      </c>
      <c r="S41" s="99" t="s">
        <v>251</v>
      </c>
      <c r="T41" s="101">
        <f>T40-T39</f>
        <v>15</v>
      </c>
      <c r="W41" s="99" t="s">
        <v>252</v>
      </c>
      <c r="X41" s="121">
        <f>X39+X40</f>
        <v>1.025388567507384E-5</v>
      </c>
      <c r="Y41" s="13">
        <f>Y39+Y40</f>
        <v>23030.586809478697</v>
      </c>
      <c r="AC41" s="99" t="s">
        <v>229</v>
      </c>
      <c r="AD41" s="121">
        <f>AD39</f>
        <v>4.0146301046088565E-4</v>
      </c>
    </row>
    <row r="42" spans="1:38">
      <c r="B42" s="72"/>
      <c r="H42" s="99" t="s">
        <v>253</v>
      </c>
      <c r="I42" s="101">
        <f>(T41-K42)/I41</f>
        <v>249.16666666666666</v>
      </c>
      <c r="J42" s="99" t="s">
        <v>145</v>
      </c>
      <c r="K42" s="218">
        <f>AVERAGE(K39:L39)-AVERAGE(K40:L40)</f>
        <v>4.9999999999999989E-2</v>
      </c>
      <c r="P42" s="129">
        <f>P39+P40</f>
        <v>300</v>
      </c>
      <c r="Q42" s="107"/>
      <c r="S42" s="99"/>
      <c r="T42" s="101"/>
      <c r="W42" s="99"/>
      <c r="X42" s="121"/>
      <c r="Y42" s="13">
        <f>Y41/S39</f>
        <v>127.70648114383218</v>
      </c>
      <c r="AC42" s="99"/>
      <c r="AD42" s="103"/>
    </row>
    <row r="43" spans="1:38">
      <c r="I43" s="272"/>
      <c r="K43" s="272">
        <f>K36-K42</f>
        <v>-0.23499999999999999</v>
      </c>
      <c r="L43" s="272"/>
      <c r="P43" s="5">
        <f>P42/Y41</f>
        <v>1.3026155281311765E-2</v>
      </c>
      <c r="W43" s="49">
        <f>W39-W40</f>
        <v>2.5541296228766441E-2</v>
      </c>
      <c r="Y43" s="13">
        <f>Y42+Y36</f>
        <v>-4433.5292745381621</v>
      </c>
    </row>
    <row r="44" spans="1:38">
      <c r="K44" s="332">
        <f>K36/K42</f>
        <v>-3.7000000000000006</v>
      </c>
      <c r="L44" s="272">
        <f>K36-(K42*2)</f>
        <v>-0.28499999999999998</v>
      </c>
      <c r="P44" s="13">
        <f>P36+P42</f>
        <v>-33700</v>
      </c>
    </row>
    <row r="45" spans="1:38" s="58" customFormat="1">
      <c r="O45" s="162"/>
      <c r="X45" s="126"/>
      <c r="AL45" s="14"/>
    </row>
    <row r="46" spans="1:38">
      <c r="K46" s="63">
        <f>K49*2+K50</f>
        <v>2.83</v>
      </c>
      <c r="L46" s="63">
        <f>L49*2+L50</f>
        <v>4.97</v>
      </c>
    </row>
    <row r="47" spans="1:38">
      <c r="A47" s="98" t="s">
        <v>255</v>
      </c>
      <c r="B47" s="98"/>
      <c r="K47" s="63"/>
      <c r="L47" s="63"/>
      <c r="P47" s="3">
        <f>P49+P50</f>
        <v>27000</v>
      </c>
      <c r="Q47" s="57"/>
    </row>
    <row r="48" spans="1:38">
      <c r="H48">
        <v>1</v>
      </c>
      <c r="I48" s="63">
        <f>I49-I50</f>
        <v>1.7999999999999998</v>
      </c>
    </row>
    <row r="49" spans="1:36">
      <c r="A49" s="275">
        <v>4.3</v>
      </c>
      <c r="B49" s="58" t="s">
        <v>2437</v>
      </c>
      <c r="C49" t="str" cm="1">
        <f t="array" ref="C49">_xll.BDP(B49&amp;" Equity","OPT_UNDL_TICKER")</f>
        <v>DELL US</v>
      </c>
      <c r="D49" t="str" cm="1">
        <f t="array" ref="D49">_xll.BDP($B49&amp;" Index","mifid_Maturity_date")</f>
        <v>06/02/2026</v>
      </c>
      <c r="E49" cm="1">
        <f t="array" ref="E49">_xll.BDP($B49&amp;" Index","opt_days_expire")</f>
        <v>3</v>
      </c>
      <c r="F49" t="str" cm="1">
        <f t="array" ref="F49">_xll.BDP(B49&amp;" Equity","QUOTED_CURRENCY_REALTIME")</f>
        <v>USD</v>
      </c>
      <c r="G49" s="104" t="s">
        <v>247</v>
      </c>
      <c r="H49" s="95">
        <v>150</v>
      </c>
      <c r="I49" s="96">
        <f>IF(G49="Buy",L49,K49)</f>
        <v>2.15</v>
      </c>
      <c r="J49" s="18">
        <f>I49/S49</f>
        <v>1.8352539479300042E-2</v>
      </c>
      <c r="K49" s="35" cm="1">
        <f t="array" ref="K49">_xll.BDP($B49&amp;" Equity","bid")</f>
        <v>1.24</v>
      </c>
      <c r="L49" s="35" cm="1">
        <f t="array" ref="L49">_xll.BDP($B49&amp;" Equity","ask")</f>
        <v>2.15</v>
      </c>
      <c r="M49" s="39">
        <f>(L49/K49-1)</f>
        <v>0.7338709677419355</v>
      </c>
      <c r="N49" s="35" cm="1">
        <f t="array" ref="N49">_xll.BDP(F49&amp;" Curncy","PX_LAST")</f>
        <v>1</v>
      </c>
      <c r="O49" s="161" cm="1">
        <f t="array" ref="O49">_xll.BDP(B49&amp;" Equity","OPT_MULTIPLIER")</f>
        <v>100</v>
      </c>
      <c r="P49" s="15">
        <f>IF(G49="Buy",((I49/N49)*H49*O49),((I49/N49)*-H49*O49))</f>
        <v>32250</v>
      </c>
      <c r="Q49" s="57">
        <f>P49/'Master P&amp;L'!$AD$5*10000</f>
        <v>0.1435863600683549</v>
      </c>
      <c r="R49" s="36" cm="1">
        <f t="array" ref="R49">_xll.BDP($C49&amp;" Equity","EST_PE_NXT_YR")*(T49/S49)</f>
        <v>10.039343862826518</v>
      </c>
      <c r="S49" s="35" cm="1">
        <f t="array" ref="S49">_xll.BDP(C49&amp;" Equity","LAST_PRICE")</f>
        <v>117.15</v>
      </c>
      <c r="T49" s="52" cm="1">
        <f t="array" ref="T49">_xll.BDP(B49&amp;" Equity","OPT_STRIKE_PX")</f>
        <v>115</v>
      </c>
      <c r="U49" s="39">
        <f>T49/S49-1</f>
        <v>-1.8352539479300045E-2</v>
      </c>
      <c r="V49" s="36" cm="1">
        <f t="array" ref="V49">_xll.BDP($B49&amp;" Equity","ivol_mid")</f>
        <v>55.143590000000003</v>
      </c>
      <c r="W49" s="37" cm="1">
        <f t="array" ref="W49">_xll.BDP(B49&amp;" Equity","DELTA_MID_RT")</f>
        <v>-0.35856416821479797</v>
      </c>
      <c r="X49" s="351">
        <f>Y49/'Master P&amp;L'!$AE$5</f>
        <v>-2.8053296832828155E-4</v>
      </c>
      <c r="Y49" s="15">
        <f>IF(G49="Sell", S49*W49*-H49*O49/N49, S49*W49*H49*O49/N49)</f>
        <v>-630086.88459545374</v>
      </c>
      <c r="Z49" s="15" cm="1">
        <f t="array" ref="Z49">_xll.BDP($B49&amp;" Equity","opt_theta")*H49*O49/N49</f>
        <v>-4527.8249999999998</v>
      </c>
      <c r="AA49" s="18" cm="1">
        <f t="array" ref="AA49">_xll.BDP($B49&amp;" Equity","opt_theta")/I49</f>
        <v>-0.14039767441860465</v>
      </c>
      <c r="AB49" s="35" t="str" cm="1">
        <f t="array" ref="AB49">_xll.BDP($C49&amp;" Equity","EXPECTED_REPORT_DT")</f>
        <v>26/02/2026</v>
      </c>
      <c r="AC49" s="15">
        <f>S49*H49*O49/N49</f>
        <v>1757250</v>
      </c>
      <c r="AD49" s="47">
        <f>AC49/'Master P&amp;L'!$AE$5</f>
        <v>7.8237870148873388E-4</v>
      </c>
      <c r="AE49" t="str">
        <f>B49&amp;" -&gt; Buy to open "&amp;H49&amp;"x"</f>
        <v>DELL US 02/06/26 P115 -&gt; Buy to open 150x</v>
      </c>
      <c r="AJ49" t="s">
        <v>257</v>
      </c>
    </row>
    <row r="50" spans="1:36">
      <c r="A50" s="275">
        <v>2.0499999999999998</v>
      </c>
      <c r="B50" s="58" t="s">
        <v>2436</v>
      </c>
      <c r="C50" t="str" cm="1">
        <f t="array" ref="C50">_xll.BDP(B50&amp;" Equity","OPT_UNDL_TICKER")</f>
        <v>DELL US</v>
      </c>
      <c r="D50" t="str" cm="1">
        <f t="array" ref="D50">_xll.BDP($B50&amp;" Index","mifid_Maturity_date")</f>
        <v>06/02/2026</v>
      </c>
      <c r="E50" cm="1">
        <f t="array" ref="E50">_xll.BDP($B50&amp;" Index","opt_days_expire")</f>
        <v>3</v>
      </c>
      <c r="F50" t="str" cm="1">
        <f t="array" ref="F50">_xll.BDP(B50&amp;" Equity","QUOTED_CURRENCY_REALTIME")</f>
        <v>USD</v>
      </c>
      <c r="G50" s="104" t="s">
        <v>248</v>
      </c>
      <c r="H50" s="95">
        <f>H49</f>
        <v>150</v>
      </c>
      <c r="I50" s="96">
        <f>IF(G50="Buy",L50,K50)</f>
        <v>0.35</v>
      </c>
      <c r="J50" s="18">
        <f>I50/S50</f>
        <v>2.9876227059325647E-3</v>
      </c>
      <c r="K50" s="35" cm="1">
        <f t="array" ref="K50">_xll.BDP($B50&amp;" Equity","bid")</f>
        <v>0.35</v>
      </c>
      <c r="L50" s="35" cm="1">
        <f t="array" ref="L50">_xll.BDP($B50&amp;" Equity","ask")</f>
        <v>0.67</v>
      </c>
      <c r="M50" s="39">
        <f>(L50/K50-1)</f>
        <v>0.91428571428571459</v>
      </c>
      <c r="N50" s="35" cm="1">
        <f t="array" ref="N50">_xll.BDP(F50&amp;" Curncy","PX_LAST")</f>
        <v>1</v>
      </c>
      <c r="O50" s="161" cm="1">
        <f t="array" ref="O50">_xll.BDP(B50&amp;" Equity","OPT_MULTIPLIER")</f>
        <v>100</v>
      </c>
      <c r="P50" s="15">
        <f>IF(G50="Buy",((I50/N50)*H50*O50),((I50/N50)*-H50*O50))</f>
        <v>-5250</v>
      </c>
      <c r="Q50" s="57">
        <f>P50/'Master P&amp;L'!$AD$5*10000</f>
        <v>-2.3374523732057777E-2</v>
      </c>
      <c r="R50" s="36" cm="1">
        <f t="array" ref="R50">_xll.BDP($C50&amp;" Equity","EST_PE_NXT_YR")*(T50/S50)</f>
        <v>9.6028506513992777</v>
      </c>
      <c r="S50" s="35" cm="1">
        <f t="array" ref="S50">_xll.BDP(C50&amp;" Equity","LAST_PRICE")</f>
        <v>117.15</v>
      </c>
      <c r="T50" s="52" cm="1">
        <f t="array" ref="T50">_xll.BDP(B50&amp;" Equity","OPT_STRIKE_PX")</f>
        <v>110</v>
      </c>
      <c r="U50" s="39">
        <f>T50/S50-1</f>
        <v>-6.1032863849765251E-2</v>
      </c>
      <c r="V50" s="36" cm="1">
        <f t="array" ref="V50">_xll.BDP(B50&amp;" Equity","ivol_mid")</f>
        <v>56.250749999999996</v>
      </c>
      <c r="W50" s="37" cm="1">
        <f t="array" ref="W50">_xll.BDP(B50&amp;" Equity","DELTA_MID_RT")</f>
        <v>-0.13894855976104736</v>
      </c>
      <c r="X50" s="351">
        <f>Y50/'Master P&amp;L'!$AE$5</f>
        <v>1.0871039375957797E-4</v>
      </c>
      <c r="Y50" s="15">
        <f>IF(G50="Sell", S50*W50*-H50*O50/N50, S50*W50*H50*O50/N50)</f>
        <v>244167.35664010048</v>
      </c>
      <c r="Z50" s="15" cm="1">
        <f t="array" ref="Z50">_xll.BDP($B50&amp;" Equity","opt_theta")*H50*O50/N50</f>
        <v>-2033.595</v>
      </c>
      <c r="AA50" s="18" cm="1">
        <f t="array" ref="AA50">_xll.BDP($B50&amp;" Equity","opt_theta")/I50</f>
        <v>-0.38735142857142857</v>
      </c>
      <c r="AB50" s="35" t="str" cm="1">
        <f t="array" ref="AB50">_xll.BDP($C50&amp;" Equity","EXPECTED_REPORT_DT")</f>
        <v>26/02/2026</v>
      </c>
      <c r="AC50" s="15">
        <f>S50*H50*O50/N50</f>
        <v>1757250</v>
      </c>
      <c r="AD50" s="18">
        <f>AC50/'Master P&amp;L'!$AE$5</f>
        <v>7.8237870148873388E-4</v>
      </c>
      <c r="AE50" t="str">
        <f>B50  &amp; " -&gt; Sell to open " &amp;   H50 &amp;"x"</f>
        <v>DELL US 02/06/26 P110 -&gt; Sell to open 150x</v>
      </c>
      <c r="AJ50" t="s">
        <v>258</v>
      </c>
    </row>
    <row r="51" spans="1:36">
      <c r="A51" s="270">
        <f>A49-A50</f>
        <v>2.25</v>
      </c>
      <c r="H51" s="99" t="s">
        <v>116</v>
      </c>
      <c r="I51" s="101">
        <v>1.8</v>
      </c>
      <c r="J51" s="99" t="s">
        <v>249</v>
      </c>
      <c r="K51" s="100">
        <f>K50/L49</f>
        <v>0.16279069767441859</v>
      </c>
      <c r="L51" s="63"/>
      <c r="P51" s="99" t="s">
        <v>250</v>
      </c>
      <c r="Q51" s="107">
        <f>Q49+Q50</f>
        <v>0.12021183633629712</v>
      </c>
      <c r="S51" s="99" t="s">
        <v>251</v>
      </c>
      <c r="T51" s="101">
        <f>T49-T50</f>
        <v>5</v>
      </c>
      <c r="W51" s="99" t="s">
        <v>252</v>
      </c>
      <c r="X51" s="410">
        <f>X49+X50</f>
        <v>-1.7182257456870356E-4</v>
      </c>
      <c r="Y51" s="13">
        <f>Y49+Y50</f>
        <v>-385919.52795535326</v>
      </c>
      <c r="AC51" s="99" t="s">
        <v>229</v>
      </c>
      <c r="AD51" s="121">
        <f>AD49</f>
        <v>7.8237870148873388E-4</v>
      </c>
    </row>
    <row r="52" spans="1:36">
      <c r="A52" s="270"/>
      <c r="H52" s="99" t="s">
        <v>253</v>
      </c>
      <c r="I52" s="101">
        <f>(T51-I51)/I51</f>
        <v>1.7777777777777779</v>
      </c>
      <c r="J52" s="99" t="s">
        <v>145</v>
      </c>
      <c r="K52" s="108">
        <f>AVERAGE(K49:L49)-AVERAGE(K50:L50)</f>
        <v>1.1849999999999998</v>
      </c>
      <c r="L52" s="63"/>
      <c r="P52" s="99"/>
      <c r="Q52" s="107"/>
      <c r="S52" s="99"/>
      <c r="T52" s="101"/>
      <c r="W52" s="99"/>
      <c r="X52" s="121"/>
      <c r="Z52" s="3">
        <f>Y51/S49</f>
        <v>-3294.2341268062592</v>
      </c>
      <c r="AC52" s="99"/>
      <c r="AD52" s="103"/>
    </row>
    <row r="54" spans="1:36">
      <c r="H54">
        <v>1</v>
      </c>
      <c r="I54" s="63"/>
      <c r="J54" s="42" t="e">
        <f>J55-J56</f>
        <v>#VALUE!</v>
      </c>
      <c r="L54" s="63"/>
      <c r="P54" s="13" t="e">
        <f>P55+P56</f>
        <v>#VALUE!</v>
      </c>
    </row>
    <row r="55" spans="1:36">
      <c r="A55" s="97" t="s">
        <v>256</v>
      </c>
      <c r="B55" s="58" t="s">
        <v>2245</v>
      </c>
      <c r="C55" t="str" cm="1">
        <f t="array" ref="C55">_xll.BDP(B55&amp;" Equity","OPT_UNDL_TICKER")</f>
        <v>AMAT US</v>
      </c>
      <c r="D55" t="str" cm="1">
        <f t="array" ref="D55">_xll.BDP($B55&amp;" Index","mifid_Maturity_date")</f>
        <v>23/01/2026</v>
      </c>
      <c r="E55" t="str" cm="1">
        <f t="array" ref="E55">_xll.BDP($B55&amp;" Index","opt_days_expire")</f>
        <v>#N/A N/A</v>
      </c>
      <c r="F55" t="str" cm="1">
        <f t="array" ref="F55">_xll.BDP(B55&amp;" Equity","QUOTED_CURRENCY_REALTIME")</f>
        <v>#N/A Real Time</v>
      </c>
      <c r="G55" s="104" t="s">
        <v>247</v>
      </c>
      <c r="H55" s="95">
        <v>100</v>
      </c>
      <c r="I55" s="96" t="str">
        <f>IF(G55="Buy",L55,K55)</f>
        <v>#N/A Real Time</v>
      </c>
      <c r="J55" s="18" t="e">
        <f>I55/S55</f>
        <v>#VALUE!</v>
      </c>
      <c r="K55" s="35" t="str" cm="1">
        <f t="array" ref="K55">_xll.BDP($B55&amp;" Equity","bid")</f>
        <v>#N/A Real Time</v>
      </c>
      <c r="L55" s="35" t="str" cm="1">
        <f t="array" ref="L55">_xll.BDP($B55&amp;" Equity","ask")</f>
        <v>#N/A Real Time</v>
      </c>
      <c r="M55" s="39" t="e">
        <f>(L55/K55-1)</f>
        <v>#VALUE!</v>
      </c>
      <c r="N55" s="35" t="str" cm="1">
        <f t="array" ref="N55">_xll.BDP(F55&amp;" Curncy","PX_LAST")</f>
        <v>#N/A Real Time Curncy</v>
      </c>
      <c r="O55" s="161" cm="1">
        <f t="array" ref="O55">_xll.BDP(B55&amp;" Equity","OPT_MULTIPLIER")</f>
        <v>100</v>
      </c>
      <c r="P55" s="15" t="e">
        <f>IF(G55="Buy",((I55/N55)*H55*O55),((I55/N55)*-H55*O55))</f>
        <v>#VALUE!</v>
      </c>
      <c r="Q55" s="57" t="e">
        <f>P55/'Master P&amp;L'!$AD$5*10000</f>
        <v>#VALUE!</v>
      </c>
      <c r="R55" s="36" cm="1">
        <f t="array" ref="R55">_xll.BDP($C55&amp;" Equity","EST_PE_NXT_YR")*(T55/S55)</f>
        <v>24.170999638151432</v>
      </c>
      <c r="S55" s="35" cm="1">
        <f t="array" ref="S55">_xll.BDP(C55&amp;" Equity","LAST_PRICE")</f>
        <v>318.67</v>
      </c>
      <c r="T55" s="52" cm="1">
        <f t="array" ref="T55">_xll.BDP(B55&amp;" Equity","OPT_STRIKE_PX")</f>
        <v>290</v>
      </c>
      <c r="U55" s="39">
        <f>T55/S55-1</f>
        <v>-8.9967678162362397E-2</v>
      </c>
      <c r="V55" s="36" t="str" cm="1">
        <f t="array" ref="V55">_xll.BDP($B55&amp;" Equity","ivol_mid")</f>
        <v>#N/A N/A</v>
      </c>
      <c r="W55" s="37" t="str" cm="1">
        <f t="array" ref="W55">_xll.BDP(B55&amp;" Equity","DELTA_MID_RT")</f>
        <v>#N/A Real Time</v>
      </c>
      <c r="X55" s="47" t="e">
        <f>Y55/'Master P&amp;L'!$AE$5</f>
        <v>#VALUE!</v>
      </c>
      <c r="Y55" s="15" t="e">
        <f>IF(G55="Sell", S55*W55*-H55*O55/N55, S55*W55*H55*O55/N55)</f>
        <v>#VALUE!</v>
      </c>
      <c r="Z55" s="15" t="e" cm="1">
        <f t="array" ref="Z55">_xll.BDP($B55&amp;" Equity","opt_theta")*H55*O55/N55</f>
        <v>#VALUE!</v>
      </c>
      <c r="AA55" s="18" t="e" cm="1">
        <f t="array" ref="AA55">_xll.BDP($B55&amp;" Equity","opt_theta")/I55</f>
        <v>#VALUE!</v>
      </c>
      <c r="AB55" s="35" t="str" cm="1">
        <f t="array" ref="AB55">_xll.BDP($C55&amp;" Equity","EXPECTED_REPORT_DT")</f>
        <v>12/02/2026</v>
      </c>
      <c r="AC55" s="15" t="e">
        <f>S55*H55*O55/N55</f>
        <v>#VALUE!</v>
      </c>
      <c r="AD55" s="47" t="e">
        <f>AC55/'Master P&amp;L'!$AE$5</f>
        <v>#VALUE!</v>
      </c>
      <c r="AE55" t="str">
        <f>B55&amp;" -&gt; Buy to open "&amp;H55&amp;"x"</f>
        <v>AMAT US 01/23/26 P290 -&gt; Buy to open 100x</v>
      </c>
      <c r="AJ55" t="s">
        <v>257</v>
      </c>
    </row>
    <row r="56" spans="1:36">
      <c r="A56" s="97" t="s">
        <v>256</v>
      </c>
      <c r="B56" s="58" t="s">
        <v>2244</v>
      </c>
      <c r="C56" t="str" cm="1">
        <f t="array" ref="C56">_xll.BDP(B56&amp;" Equity","OPT_UNDL_TICKER")</f>
        <v>AMAT US</v>
      </c>
      <c r="D56" t="str" cm="1">
        <f t="array" ref="D56">_xll.BDP($B56&amp;" Index","mifid_Maturity_date")</f>
        <v>23/01/2026</v>
      </c>
      <c r="E56" t="str" cm="1">
        <f t="array" ref="E56">_xll.BDP($B56&amp;" Index","opt_days_expire")</f>
        <v>#N/A N/A</v>
      </c>
      <c r="F56" t="str" cm="1">
        <f t="array" ref="F56">_xll.BDP(B56&amp;" Equity","QUOTED_CURRENCY_REALTIME")</f>
        <v>#N/A Real Time</v>
      </c>
      <c r="G56" s="104" t="s">
        <v>248</v>
      </c>
      <c r="H56" s="95">
        <f>H55*H54</f>
        <v>100</v>
      </c>
      <c r="I56" s="96" t="str">
        <f>IF(G56="Buy",L56,K56)</f>
        <v>#N/A Real Time</v>
      </c>
      <c r="J56" s="18" t="e">
        <f>I56/S56</f>
        <v>#VALUE!</v>
      </c>
      <c r="K56" s="35" t="str" cm="1">
        <f t="array" ref="K56">_xll.BDP($B56&amp;" Equity","bid")</f>
        <v>#N/A Real Time</v>
      </c>
      <c r="L56" s="35" t="str" cm="1">
        <f t="array" ref="L56">_xll.BDP($B56&amp;" Equity","ask")</f>
        <v>#N/A Real Time</v>
      </c>
      <c r="M56" s="39" t="e">
        <f>(L56/K56-1)</f>
        <v>#VALUE!</v>
      </c>
      <c r="N56" s="35" t="str" cm="1">
        <f t="array" ref="N56">_xll.BDP(F56&amp;" Curncy","PX_LAST")</f>
        <v>#N/A Real Time Curncy</v>
      </c>
      <c r="O56" s="161" cm="1">
        <f t="array" ref="O56">_xll.BDP(B56&amp;" Equity","OPT_MULTIPLIER")</f>
        <v>100</v>
      </c>
      <c r="P56" s="15" t="e">
        <f>IF(G56="Buy",((I56/N56)*H56*O56),((I56/N56)*-H56*O56))</f>
        <v>#VALUE!</v>
      </c>
      <c r="Q56" s="57" t="e">
        <f>P56/'Master P&amp;L'!$AD$5*10000</f>
        <v>#VALUE!</v>
      </c>
      <c r="R56" s="36" cm="1">
        <f t="array" ref="R56">_xll.BDP($C56&amp;" Equity","EST_PE_NXT_YR")*(T56/S56)</f>
        <v>23.337516892008281</v>
      </c>
      <c r="S56" s="35" cm="1">
        <f t="array" ref="S56">_xll.BDP(C56&amp;" Equity","LAST_PRICE")</f>
        <v>318.67</v>
      </c>
      <c r="T56" s="52" cm="1">
        <f t="array" ref="T56">_xll.BDP(B56&amp;" Equity","OPT_STRIKE_PX")</f>
        <v>280</v>
      </c>
      <c r="U56" s="39">
        <f>T56/S56-1</f>
        <v>-0.12134810305331534</v>
      </c>
      <c r="V56" s="36" t="str" cm="1">
        <f t="array" ref="V56">_xll.BDP(B56&amp;" Equity","ivol_mid")</f>
        <v>#N/A N/A</v>
      </c>
      <c r="W56" s="37" t="str" cm="1">
        <f t="array" ref="W56">_xll.BDP(B56&amp;" Equity","DELTA_MID_RT")</f>
        <v>#N/A Real Time</v>
      </c>
      <c r="X56" s="47" t="e">
        <f>Y56/'Master P&amp;L'!$AE$5</f>
        <v>#VALUE!</v>
      </c>
      <c r="Y56" s="15" t="e">
        <f>IF(G56="Sell", S56*W56*-H56*O56/N56, S56*W56*H56*O56/N56)</f>
        <v>#VALUE!</v>
      </c>
      <c r="Z56" s="15" t="e" cm="1">
        <f t="array" ref="Z56">_xll.BDP($B56&amp;" Equity","opt_theta")*H56*O56/N56</f>
        <v>#VALUE!</v>
      </c>
      <c r="AA56" s="18" t="e" cm="1">
        <f t="array" ref="AA56">_xll.BDP($B56&amp;" Equity","opt_theta")/I56</f>
        <v>#VALUE!</v>
      </c>
      <c r="AB56" s="35" t="str" cm="1">
        <f t="array" ref="AB56">_xll.BDP($C56&amp;" Equity","EXPECTED_REPORT_DT")</f>
        <v>12/02/2026</v>
      </c>
      <c r="AC56" s="15" t="e">
        <f>S56*H56*O56/N56</f>
        <v>#VALUE!</v>
      </c>
      <c r="AD56" s="18" t="e">
        <f>AC56/'Master P&amp;L'!$AE$5</f>
        <v>#VALUE!</v>
      </c>
      <c r="AE56" t="str">
        <f>B56  &amp; " -&gt; Sell to open " &amp;   H56 &amp;"x"</f>
        <v>AMAT US 01/23/26 P280 -&gt; Sell to open 100x</v>
      </c>
      <c r="AJ56" t="s">
        <v>258</v>
      </c>
    </row>
    <row r="57" spans="1:36">
      <c r="G57" t="e">
        <f>I57/K58</f>
        <v>#VALUE!</v>
      </c>
      <c r="H57" s="99" t="s">
        <v>116</v>
      </c>
      <c r="I57" s="101" t="e">
        <f>I55-I56</f>
        <v>#VALUE!</v>
      </c>
      <c r="J57" s="99" t="s">
        <v>249</v>
      </c>
      <c r="K57" s="100" t="e">
        <f>K56/L55</f>
        <v>#VALUE!</v>
      </c>
      <c r="L57" s="63"/>
      <c r="P57" s="99" t="s">
        <v>250</v>
      </c>
      <c r="Q57" s="107" t="e">
        <f>Q55+Q56</f>
        <v>#VALUE!</v>
      </c>
      <c r="S57" s="99" t="s">
        <v>251</v>
      </c>
      <c r="T57" s="101">
        <f>T55-T56</f>
        <v>10</v>
      </c>
      <c r="W57" s="99" t="s">
        <v>252</v>
      </c>
      <c r="X57" s="121" t="e">
        <f>X55+X56</f>
        <v>#VALUE!</v>
      </c>
      <c r="Y57" s="13"/>
      <c r="AC57" s="99" t="s">
        <v>229</v>
      </c>
      <c r="AD57" s="121" t="e">
        <f>AD55</f>
        <v>#VALUE!</v>
      </c>
    </row>
    <row r="58" spans="1:36">
      <c r="H58" s="99" t="s">
        <v>253</v>
      </c>
      <c r="I58" s="101" t="e">
        <f>(T57-I57)/I57</f>
        <v>#VALUE!</v>
      </c>
      <c r="J58" s="99" t="s">
        <v>145</v>
      </c>
      <c r="K58" s="108" t="e">
        <f>AVERAGE(K55:L55)-AVERAGE(K56:L56)</f>
        <v>#DIV/0!</v>
      </c>
      <c r="L58" s="63"/>
      <c r="P58" s="99"/>
      <c r="Q58" s="107"/>
      <c r="S58" s="99"/>
      <c r="T58" s="101"/>
      <c r="W58" s="99"/>
      <c r="X58" s="121"/>
      <c r="Y58" s="13" t="e">
        <f>Y55+Y56</f>
        <v>#VALUE!</v>
      </c>
      <c r="Z58" s="3"/>
      <c r="AC58" s="99"/>
      <c r="AD58" s="103"/>
    </row>
    <row r="59" spans="1:36">
      <c r="K59" s="63" t="e">
        <f>K58-K52</f>
        <v>#DIV/0!</v>
      </c>
      <c r="Y59" s="63" t="e">
        <f>Y58/S55</f>
        <v>#VALUE!</v>
      </c>
    </row>
    <row r="60" spans="1:36">
      <c r="I60" s="63" t="e">
        <f>I51-I57</f>
        <v>#VALUE!</v>
      </c>
      <c r="K60" s="63" t="e">
        <f>K52-K58</f>
        <v>#DIV/0!</v>
      </c>
      <c r="Y60" s="63"/>
    </row>
    <row r="61" spans="1:36">
      <c r="H61">
        <v>1</v>
      </c>
      <c r="I61" s="63"/>
      <c r="L61" s="63">
        <f>AVERAGE(K62:L62)</f>
        <v>9.3000000000000007</v>
      </c>
      <c r="T61" s="63">
        <f>T62-S62</f>
        <v>4.4599999999999937</v>
      </c>
    </row>
    <row r="62" spans="1:36">
      <c r="A62" s="97" t="s">
        <v>256</v>
      </c>
      <c r="B62" t="s">
        <v>2058</v>
      </c>
      <c r="C62" t="str" cm="1">
        <f t="array" ref="C62">_xll.BDP(B62&amp;" Equity","OPT_UNDL_TICKER")</f>
        <v>MRVL US</v>
      </c>
      <c r="D62" t="str" cm="1">
        <f t="array" ref="D62">_xll.BDP($B62&amp;" Index","mifid_Maturity_date")</f>
        <v>20/03/2026</v>
      </c>
      <c r="E62" cm="1">
        <f t="array" ref="E62">_xll.BDP($B62&amp;" Index","opt_days_expire")</f>
        <v>45</v>
      </c>
      <c r="F62" t="str" cm="1">
        <f t="array" ref="F62">_xll.BDP(B62&amp;" Equity","QUOTED_CURRENCY_REALTIME")</f>
        <v>USD</v>
      </c>
      <c r="G62" s="104" t="s">
        <v>247</v>
      </c>
      <c r="H62" s="95">
        <v>150</v>
      </c>
      <c r="I62" s="96">
        <f>IF(G62="Buy",L62,K62)</f>
        <v>9.4</v>
      </c>
      <c r="J62" s="18">
        <f>I62/S62</f>
        <v>0.12443738416732857</v>
      </c>
      <c r="K62" s="35" cm="1">
        <f t="array" ref="K62">_xll.BDP($B62&amp;" Equity","bid")</f>
        <v>9.1999999999999993</v>
      </c>
      <c r="L62" s="35" cm="1">
        <f t="array" ref="L62">_xll.BDP($B62&amp;" Equity","ask")</f>
        <v>9.4</v>
      </c>
      <c r="M62" s="39">
        <f>(L62/K62-1)</f>
        <v>2.1739130434782705E-2</v>
      </c>
      <c r="N62" s="35" cm="1">
        <f t="array" ref="N62">_xll.BDP(F62&amp;" Curncy","PX_LAST")</f>
        <v>1</v>
      </c>
      <c r="O62" s="161" cm="1">
        <f t="array" ref="O62">_xll.BDP(B62&amp;" Equity","OPT_MULTIPLIER")</f>
        <v>100</v>
      </c>
      <c r="P62" s="15">
        <f>IF(G62="Buy",((I62/N62)*H62*O62),((I62/N62)*-H62*O62))</f>
        <v>141000</v>
      </c>
      <c r="Q62" s="57">
        <f>P62/'Master P&amp;L'!$AD$5*10000</f>
        <v>0.62777292308955168</v>
      </c>
      <c r="R62" s="36" cm="1">
        <f t="array" ref="R62">_xll.BDP($C62&amp;" Equity","EST_PE_NXT_YR")*(T62/S62)</f>
        <v>22.317827661076333</v>
      </c>
      <c r="S62" s="35" cm="1">
        <f t="array" ref="S62">_xll.BDP(C62&amp;" Equity","LAST_PRICE")</f>
        <v>75.540000000000006</v>
      </c>
      <c r="T62" s="52" cm="1">
        <f t="array" ref="T62">_xll.BDP(B62&amp;" Equity","OPT_STRIKE_PX")</f>
        <v>80</v>
      </c>
      <c r="U62" s="39">
        <f>T62/S62-1</f>
        <v>5.9041567381519666E-2</v>
      </c>
      <c r="V62" s="36" cm="1">
        <f t="array" ref="V62">_xll.BDP($B62&amp;" Equity","ivol_mid")</f>
        <v>63.352409999999999</v>
      </c>
      <c r="W62" s="37" cm="1">
        <f t="array" ref="W62">_xll.BDP(B62&amp;" Equity","DELTA_MID_RT")</f>
        <v>-0.55034959316253662</v>
      </c>
      <c r="X62" s="47">
        <f>Y62/'Master P&amp;L'!$AE$5</f>
        <v>-2.7764531947747407E-4</v>
      </c>
      <c r="Y62" s="15">
        <f>IF(G62="Sell", S62*W62*-H62*O62/N62, S62*W62*H62*O62/N62)</f>
        <v>-623601.12401247025</v>
      </c>
      <c r="Z62" s="15" cm="1">
        <f t="array" ref="Z62">_xll.BDP($B62&amp;" Equity","opt_theta")*H62*O62/N62</f>
        <v>-1092.585</v>
      </c>
      <c r="AA62" s="18" cm="1">
        <f t="array" ref="AA62">_xll.BDP($B62&amp;" Equity","opt_theta")/I62</f>
        <v>-7.7488297872340423E-3</v>
      </c>
      <c r="AB62" s="35" t="str" cm="1">
        <f t="array" ref="AB62">_xll.BDP($C62&amp;" Equity","EXPECTED_REPORT_DT")</f>
        <v>05/03/2026</v>
      </c>
      <c r="AC62" s="15">
        <f>S62*H62*O62/N62</f>
        <v>1133100.0000000002</v>
      </c>
      <c r="AD62" s="47">
        <f>AC62/'Master P&amp;L'!$AE$5</f>
        <v>5.0448900649132712E-4</v>
      </c>
      <c r="AE62" t="str">
        <f>B62&amp;" -&gt; Buy to open "&amp;H62&amp;"x"</f>
        <v>MRVL US 03/20/26 P80 -&gt; Buy to open 150x</v>
      </c>
      <c r="AJ62" t="s">
        <v>257</v>
      </c>
    </row>
    <row r="63" spans="1:36">
      <c r="A63" s="97" t="s">
        <v>256</v>
      </c>
      <c r="B63" s="72" t="s">
        <v>2270</v>
      </c>
      <c r="C63" t="str" cm="1">
        <f t="array" ref="C63">_xll.BDP(B63&amp;" Equity","OPT_UNDL_TICKER")</f>
        <v>MRVL US</v>
      </c>
      <c r="D63" t="str" cm="1">
        <f t="array" ref="D63">_xll.BDP($B63&amp;" Index","mifid_Maturity_date")</f>
        <v>20/03/2026</v>
      </c>
      <c r="E63" cm="1">
        <f t="array" ref="E63">_xll.BDP($B63&amp;" Index","opt_days_expire")</f>
        <v>45</v>
      </c>
      <c r="F63" t="str" cm="1">
        <f t="array" ref="F63">_xll.BDP(B63&amp;" Equity","QUOTED_CURRENCY_REALTIME")</f>
        <v>USD</v>
      </c>
      <c r="G63" s="104" t="s">
        <v>248</v>
      </c>
      <c r="H63" s="95">
        <f>H62</f>
        <v>150</v>
      </c>
      <c r="I63" s="96">
        <f>IF(G63="Buy",L63,K63)</f>
        <v>3.95</v>
      </c>
      <c r="J63" s="18">
        <f>I63/S63</f>
        <v>5.2290177389462532E-2</v>
      </c>
      <c r="K63" s="35" cm="1">
        <f t="array" ref="K63">_xll.BDP($B63&amp;" Equity","bid")</f>
        <v>3.95</v>
      </c>
      <c r="L63" s="35" cm="1">
        <f t="array" ref="L63">_xll.BDP($B63&amp;" Equity","ask")</f>
        <v>4.25</v>
      </c>
      <c r="M63" s="39">
        <f>(L63/K63-1)</f>
        <v>7.5949367088607556E-2</v>
      </c>
      <c r="N63" s="35" cm="1">
        <f t="array" ref="N63">_xll.BDP(F63&amp;" Curncy","PX_LAST")</f>
        <v>1</v>
      </c>
      <c r="O63" s="161" cm="1">
        <f t="array" ref="O63">_xll.BDP(B63&amp;" Equity","OPT_MULTIPLIER")</f>
        <v>100</v>
      </c>
      <c r="P63" s="15">
        <f>IF(G63="Buy",((I63/N63)*H63*O63),((I63/N63)*-H63*O63))</f>
        <v>-59250</v>
      </c>
      <c r="Q63" s="57">
        <f>P63/'Master P&amp;L'!$AD$5*10000</f>
        <v>-0.26379819640465202</v>
      </c>
      <c r="R63" s="36" cm="1">
        <f t="array" ref="R63">_xll.BDP($C63&amp;" Equity","EST_PE_NXT_YR")*(T63/S63)</f>
        <v>19.528099203441791</v>
      </c>
      <c r="S63" s="35" cm="1">
        <f t="array" ref="S63">_xll.BDP(C63&amp;" Equity","LAST_PRICE")</f>
        <v>75.540000000000006</v>
      </c>
      <c r="T63" s="52" cm="1">
        <f t="array" ref="T63">_xll.BDP(B63&amp;" Equity","OPT_STRIKE_PX")</f>
        <v>70</v>
      </c>
      <c r="U63" s="39">
        <f>T63/S63-1</f>
        <v>-7.3338628541170348E-2</v>
      </c>
      <c r="V63" s="36" cm="1">
        <f t="array" ref="V63">_xll.BDP($B63&amp;" Equity","ivol_mid")</f>
        <v>64.406750000000002</v>
      </c>
      <c r="W63" s="37" cm="1">
        <f t="array" ref="W63">_xll.BDP(B63&amp;" Equity","DELTA_MID_RT")</f>
        <v>-0.32131803035736084</v>
      </c>
      <c r="X63" s="47">
        <f>Y63/'Master P&amp;L'!$AE$5</f>
        <v>1.6210141390273503E-4</v>
      </c>
      <c r="Y63" s="15">
        <f>IF(G63="Sell", S63*W63*-H63*O63/N63, S63*W63*H63*O63/N63)</f>
        <v>364085.46019792563</v>
      </c>
      <c r="Z63" s="15" cm="1">
        <f t="array" ref="Z63">_xll.BDP($B63&amp;" Equity","opt_theta")*H63*O63/N63</f>
        <v>-1033.1999999999998</v>
      </c>
      <c r="AA63" s="18" cm="1">
        <f t="array" ref="AA63">_xll.BDP($B63&amp;" Equity","opt_theta")/I63</f>
        <v>-1.7437974683544303E-2</v>
      </c>
      <c r="AB63" s="35" t="str" cm="1">
        <f t="array" ref="AB63">_xll.BDP($C63&amp;" Equity","EXPECTED_REPORT_DT")</f>
        <v>05/03/2026</v>
      </c>
      <c r="AC63" s="15">
        <f>S63*H63*O63/N63</f>
        <v>1133100.0000000002</v>
      </c>
      <c r="AD63" s="47">
        <f>AC63/'Master P&amp;L'!$AE$5</f>
        <v>5.0448900649132712E-4</v>
      </c>
      <c r="AE63" t="str">
        <f>B63&amp;" -&gt; Buy to open "&amp;H63&amp;"x"</f>
        <v>MRVL US 03/20/26 P70 -&gt; Buy to open 150x</v>
      </c>
      <c r="AJ63" t="s">
        <v>257</v>
      </c>
    </row>
    <row r="64" spans="1:36">
      <c r="H64" s="99" t="s">
        <v>116</v>
      </c>
      <c r="I64" s="101">
        <f>I62-I63</f>
        <v>5.45</v>
      </c>
      <c r="J64" s="99" t="s">
        <v>249</v>
      </c>
      <c r="K64" s="100">
        <f>K63/L62</f>
        <v>0.42021276595744683</v>
      </c>
      <c r="L64" s="63"/>
      <c r="P64" s="99" t="s">
        <v>250</v>
      </c>
      <c r="Q64" s="107">
        <f>Q62+Q63</f>
        <v>0.36397472668489966</v>
      </c>
      <c r="S64" s="99" t="s">
        <v>251</v>
      </c>
      <c r="T64" s="101">
        <f>T62-T63</f>
        <v>10</v>
      </c>
      <c r="W64" s="99" t="s">
        <v>252</v>
      </c>
      <c r="X64" s="121">
        <f>X62+X63</f>
        <v>-1.1554390557473904E-4</v>
      </c>
      <c r="Y64" s="13">
        <f>Y62+Y63</f>
        <v>-259515.66381454462</v>
      </c>
      <c r="AC64" s="99" t="s">
        <v>229</v>
      </c>
      <c r="AD64" s="121">
        <f>AD62</f>
        <v>5.0448900649132712E-4</v>
      </c>
    </row>
    <row r="65" spans="1:31">
      <c r="H65" s="99" t="s">
        <v>253</v>
      </c>
      <c r="I65" s="101">
        <f>(T64-I64)/I64</f>
        <v>0.83486238532110091</v>
      </c>
      <c r="J65" s="99" t="s">
        <v>145</v>
      </c>
      <c r="K65" s="108">
        <f>AVERAGE(K62:L62)-AVERAGE(K63:L63)</f>
        <v>5.2000000000000011</v>
      </c>
      <c r="P65" s="99"/>
      <c r="Q65" s="107"/>
      <c r="S65" s="99"/>
      <c r="T65" s="101"/>
      <c r="W65" s="99"/>
      <c r="X65" s="121"/>
      <c r="Z65" s="3">
        <f>Y64/S62</f>
        <v>-3435.4734420776358</v>
      </c>
      <c r="AC65" s="99"/>
      <c r="AD65" s="103"/>
    </row>
    <row r="67" spans="1:31">
      <c r="H67">
        <v>1</v>
      </c>
      <c r="I67" s="63"/>
      <c r="K67" s="63"/>
      <c r="L67" s="63"/>
      <c r="P67" s="13"/>
    </row>
    <row r="68" spans="1:31">
      <c r="A68" s="97" t="s">
        <v>256</v>
      </c>
      <c r="B68" s="58" t="s">
        <v>2248</v>
      </c>
      <c r="C68" t="str" cm="1">
        <f t="array" ref="C68">_xll.BDP(B68&amp;" Equity","OPT_UNDL_TICKER")</f>
        <v>QQQ US</v>
      </c>
      <c r="D68" t="str">
        <f>_xll.BDP($B68&amp;" Index","mifid_Maturity_date")</f>
        <v>15/01/2026</v>
      </c>
      <c r="E68" t="str">
        <f>_xll.BDP($B68&amp;" Index","opt_days_expire")</f>
        <v>#N/A N/A</v>
      </c>
      <c r="F68" t="str" cm="1">
        <f t="array" ref="F68">_xll.BDP(B68&amp;" Equity","QUOTED_CURRENCY_REALTIME")</f>
        <v>#N/A Real Time</v>
      </c>
      <c r="G68" s="104" t="s">
        <v>247</v>
      </c>
      <c r="H68" s="95">
        <v>500</v>
      </c>
      <c r="I68" s="96" t="str">
        <f>IF(G68="Buy",L68,K68)</f>
        <v>#N/A Real Time</v>
      </c>
      <c r="J68" s="18" t="e">
        <f>I68/S68</f>
        <v>#VALUE!</v>
      </c>
      <c r="K68" s="35" t="str" cm="1">
        <f t="array" ref="K68">_xll.BDP($B68&amp;" Equity","bid")</f>
        <v>#N/A Real Time</v>
      </c>
      <c r="L68" s="35" t="str" cm="1">
        <f t="array" ref="L68">_xll.BDP($B68&amp;" Equity","ask")</f>
        <v>#N/A Real Time</v>
      </c>
      <c r="M68" s="39" t="e">
        <f>(L68/K68-1)</f>
        <v>#VALUE!</v>
      </c>
      <c r="N68" s="35" t="str" cm="1">
        <f t="array" ref="N68">_xll.BDP(F68&amp;" Curncy","PX_LAST")</f>
        <v>#N/A Real Time Curncy</v>
      </c>
      <c r="O68" s="161" cm="1">
        <f t="array" ref="O68">_xll.BDP(B68&amp;" Equity","OPT_MULTIPLIER")</f>
        <v>100</v>
      </c>
      <c r="P68" s="15" t="e">
        <f>IF(G68="Buy",((I68/N68)*H68*O68),((I68/N68)*-H68*O68))</f>
        <v>#VALUE!</v>
      </c>
      <c r="Q68" s="57" t="e">
        <f>P68/'Master P&amp;L'!$AD$5*10000</f>
        <v>#VALUE!</v>
      </c>
      <c r="R68" s="36" t="e" cm="1">
        <f t="array" ref="R68">_xll.BDP($C68&amp;" Equity","EST_PE_NXT_YR")*(T68/S68)</f>
        <v>#VALUE!</v>
      </c>
      <c r="S68" s="35" cm="1">
        <f t="array" ref="S68">_xll.BDP(C68&amp;" Equity","LAST_PRICE")</f>
        <v>616.52</v>
      </c>
      <c r="T68" s="52" cm="1">
        <f t="array" ref="T68">_xll.BDP(B68&amp;" Equity","OPT_STRIKE_PX")</f>
        <v>623</v>
      </c>
      <c r="U68" s="39">
        <f>T68/S68-1</f>
        <v>1.0510607928372107E-2</v>
      </c>
      <c r="V68" s="36" t="str" cm="1">
        <f t="array" ref="V68">_xll.BDP($B68&amp;" Equity","ivol_mid")</f>
        <v>#N/A N/A</v>
      </c>
      <c r="W68" s="37" t="str" cm="1">
        <f t="array" ref="W68">_xll.BDP(B68&amp;" Equity","DELTA_MID_RT")</f>
        <v>#N/A Real Time</v>
      </c>
      <c r="X68" s="47" t="e">
        <f>Y68/'Master P&amp;L'!$AE$5</f>
        <v>#VALUE!</v>
      </c>
      <c r="Y68" s="15" t="e">
        <f>IF(G68="Sell", S68*W68*-H68*O68/N68, S68*W68*H68*O68/N68)</f>
        <v>#VALUE!</v>
      </c>
      <c r="Z68" s="15" t="e" cm="1">
        <f t="array" ref="Z68">_xll.BDP($B68&amp;" Equity","opt_theta")*H68*O68/N68</f>
        <v>#VALUE!</v>
      </c>
      <c r="AA68" s="18" t="e" cm="1">
        <f t="array" ref="AA68">_xll.BDP($B68&amp;" Equity","opt_theta")/I68</f>
        <v>#VALUE!</v>
      </c>
      <c r="AB68" s="35" t="str" cm="1">
        <f t="array" ref="AB68">_xll.BDP($C68&amp;" Equity","EXPECTED_REPORT_DT")</f>
        <v>#N/A N/A</v>
      </c>
      <c r="AC68" s="15" t="e">
        <f>S68*H68*O68/N68</f>
        <v>#VALUE!</v>
      </c>
      <c r="AD68" s="47" t="e">
        <f>AC68/'Master P&amp;L'!$AE$5</f>
        <v>#VALUE!</v>
      </c>
      <c r="AE68" t="str">
        <f>B68&amp;" -&gt; Buy to open "&amp;H68&amp;"x"</f>
        <v>QQQ US 01/15/26 P623 -&gt; Buy to open 500x</v>
      </c>
    </row>
    <row r="69" spans="1:31">
      <c r="A69" s="97" t="s">
        <v>256</v>
      </c>
      <c r="B69" s="58" t="s">
        <v>2249</v>
      </c>
      <c r="C69" t="str" cm="1">
        <f t="array" ref="C69">_xll.BDP(B69&amp;" Equity","OPT_UNDL_TICKER")</f>
        <v>QQQ US</v>
      </c>
      <c r="D69" t="str" cm="1">
        <f t="array" ref="D69">_xll.BDP($B69&amp;" Equity","mifid_Maturity_date")</f>
        <v>15/01/2026</v>
      </c>
      <c r="E69" t="str" cm="1">
        <f t="array" ref="E69">_xll.BDP($B69&amp;" Equity","opt_days_expire")</f>
        <v>#N/A N/A</v>
      </c>
      <c r="F69" t="str" cm="1">
        <f t="array" ref="F69">_xll.BDP(B69&amp;" Equity","QUOTED_CURRENCY_REALTIME")</f>
        <v>#N/A Real Time</v>
      </c>
      <c r="G69" s="104" t="s">
        <v>248</v>
      </c>
      <c r="H69" s="95">
        <f>H68</f>
        <v>500</v>
      </c>
      <c r="I69" s="96" t="str">
        <f>IF(G69="Buy",L69,K69)</f>
        <v>#N/A Real Time</v>
      </c>
      <c r="J69" s="18" t="e">
        <f>I69/S69</f>
        <v>#VALUE!</v>
      </c>
      <c r="K69" s="35" t="str" cm="1">
        <f t="array" ref="K69">_xll.BDP($B69&amp;" Equity","bid")</f>
        <v>#N/A Real Time</v>
      </c>
      <c r="L69" s="35" t="str" cm="1">
        <f t="array" ref="L69">_xll.BDP($B69&amp;" Equity","ask")</f>
        <v>#N/A Real Time</v>
      </c>
      <c r="M69" s="39" t="e">
        <f>(L69/K69-1)</f>
        <v>#VALUE!</v>
      </c>
      <c r="N69" s="35" t="str" cm="1">
        <f t="array" ref="N69">_xll.BDP(F69&amp;" Curncy","PX_LAST")</f>
        <v>#N/A Real Time Curncy</v>
      </c>
      <c r="O69" s="161" cm="1">
        <f t="array" ref="O69">_xll.BDP(B69&amp;" Equity","OPT_MULTIPLIER")</f>
        <v>100</v>
      </c>
      <c r="P69" s="15" t="e">
        <f>IF(G69="Buy",((I69/N69)*H69*O69),((I69/N69)*-H69*O69))</f>
        <v>#VALUE!</v>
      </c>
      <c r="Q69" s="57" t="e">
        <f>P69/'Master P&amp;L'!$AD$5*10000</f>
        <v>#VALUE!</v>
      </c>
      <c r="R69" s="36" t="e" cm="1">
        <f t="array" ref="R69">_xll.BDP($C69&amp;" Equity","EST_PE_NXT_YR")*(T69/S69)</f>
        <v>#VALUE!</v>
      </c>
      <c r="S69" s="35" cm="1">
        <f t="array" ref="S69">_xll.BDP(C69&amp;" Equity","LAST_PRICE")</f>
        <v>616.52</v>
      </c>
      <c r="T69" s="52" cm="1">
        <f t="array" ref="T69">_xll.BDP(B69&amp;" Equity","OPT_STRIKE_PX")</f>
        <v>622</v>
      </c>
      <c r="U69" s="39">
        <f>T69/S69-1</f>
        <v>8.8886005320185646E-3</v>
      </c>
      <c r="V69" s="36" t="str" cm="1">
        <f t="array" ref="V69">_xll.BDP($B69&amp;" Equity","ivol_mid")</f>
        <v>#N/A N/A</v>
      </c>
      <c r="W69" s="37" t="str" cm="1">
        <f t="array" ref="W69">_xll.BDP(B69&amp;" Equity","DELTA_MID_RT")</f>
        <v>#N/A Real Time</v>
      </c>
      <c r="X69" s="47" t="e">
        <f>Y69/'Master P&amp;L'!$AE$5</f>
        <v>#VALUE!</v>
      </c>
      <c r="Y69" s="15" t="e">
        <f>IF(G69="Sell", S69*W69*-H69*O69/N69, S69*W69*H69*O69/N69)</f>
        <v>#VALUE!</v>
      </c>
      <c r="Z69" s="15" t="e" cm="1">
        <f t="array" ref="Z69">_xll.BDP($B69&amp;" Equity","opt_theta")*H69*O69/N69</f>
        <v>#VALUE!</v>
      </c>
      <c r="AA69" s="18" t="e" cm="1">
        <f t="array" ref="AA69">_xll.BDP($B69&amp;" Equity","opt_theta")/I69</f>
        <v>#VALUE!</v>
      </c>
      <c r="AB69" s="35" t="str" cm="1">
        <f t="array" ref="AB69">_xll.BDP($C69&amp;" Equity","EXPECTED_REPORT_DT")</f>
        <v>#N/A N/A</v>
      </c>
      <c r="AC69" s="15" t="e">
        <f>S69*H69*O69/N69</f>
        <v>#VALUE!</v>
      </c>
      <c r="AD69" s="47" t="e">
        <f>AC69/'Master P&amp;L'!$AE$5</f>
        <v>#VALUE!</v>
      </c>
      <c r="AE69" t="str">
        <f>B69&amp;" -&gt; Buy to open "&amp;H69&amp;"x"</f>
        <v>QQQ US 01/15/26 P622 -&gt; Buy to open 500x</v>
      </c>
    </row>
    <row r="70" spans="1:31">
      <c r="H70" s="99" t="s">
        <v>116</v>
      </c>
      <c r="I70" s="101" t="e">
        <f>I68-I69</f>
        <v>#VALUE!</v>
      </c>
      <c r="J70" s="99" t="s">
        <v>249</v>
      </c>
      <c r="K70" s="100" t="e">
        <f>K69/L68</f>
        <v>#VALUE!</v>
      </c>
      <c r="P70" s="99" t="s">
        <v>250</v>
      </c>
      <c r="Q70" s="107" t="e">
        <f>Q68+Q69</f>
        <v>#VALUE!</v>
      </c>
      <c r="S70" s="99" t="s">
        <v>251</v>
      </c>
      <c r="T70" s="101">
        <f>T68-T69</f>
        <v>1</v>
      </c>
      <c r="W70" s="99" t="s">
        <v>252</v>
      </c>
      <c r="X70" s="121" t="e">
        <f>X68+X69</f>
        <v>#VALUE!</v>
      </c>
      <c r="AC70" s="99" t="s">
        <v>229</v>
      </c>
      <c r="AD70" s="121" t="e">
        <f>AD68</f>
        <v>#VALUE!</v>
      </c>
    </row>
    <row r="71" spans="1:31">
      <c r="H71" s="99" t="s">
        <v>253</v>
      </c>
      <c r="I71" s="101" t="e">
        <f>(T70-I70)/I70</f>
        <v>#VALUE!</v>
      </c>
      <c r="J71" s="99" t="s">
        <v>145</v>
      </c>
      <c r="K71" s="108" t="e">
        <f>AVERAGE(K68:L68)-AVERAGE(K69:L69)</f>
        <v>#DIV/0!</v>
      </c>
      <c r="P71" s="99"/>
      <c r="Q71" s="107"/>
      <c r="S71" s="99"/>
      <c r="T71" s="101"/>
      <c r="W71" s="99"/>
      <c r="X71" s="121"/>
      <c r="Y71" s="13" t="e">
        <f>Y68+Y69</f>
        <v>#VALUE!</v>
      </c>
      <c r="AC71" s="99"/>
      <c r="AD71" s="103"/>
    </row>
    <row r="72" spans="1:31">
      <c r="K72" s="63" t="e">
        <f>K62-K71</f>
        <v>#DIV/0!</v>
      </c>
      <c r="L72" s="63" t="e">
        <f>L68-L69</f>
        <v>#VALUE!</v>
      </c>
      <c r="P72" s="13">
        <f>-P62-P67</f>
        <v>-141000</v>
      </c>
      <c r="Y72" s="63" t="e">
        <f>Y71/S68</f>
        <v>#VALUE!</v>
      </c>
    </row>
    <row r="73" spans="1:31">
      <c r="I73" s="3"/>
      <c r="K73" s="63" t="e">
        <f>K71-K65</f>
        <v>#DIV/0!</v>
      </c>
    </row>
    <row r="74" spans="1:31">
      <c r="H74">
        <v>1</v>
      </c>
      <c r="I74" s="63"/>
      <c r="L74">
        <f>K75/L76</f>
        <v>1.3526119402985073</v>
      </c>
      <c r="P74" s="13"/>
    </row>
    <row r="75" spans="1:31">
      <c r="A75" s="97" t="s">
        <v>256</v>
      </c>
      <c r="B75" s="58" t="s">
        <v>2484</v>
      </c>
      <c r="C75" t="str" cm="1">
        <f t="array" ref="C75">_xll.BDP(B75&amp;" Equity","OPT_UNDL_TICKER")</f>
        <v>SMH US</v>
      </c>
      <c r="D75" t="str" cm="1">
        <f t="array" ref="D75">_xll.BDP($B75&amp;" Index","mifid_Maturity_date")</f>
        <v>13/02/2026</v>
      </c>
      <c r="E75" cm="1">
        <f t="array" ref="E75">_xll.BDP($B75&amp;" Index","opt_days_expire")</f>
        <v>10</v>
      </c>
      <c r="F75" t="str" cm="1">
        <f t="array" ref="F75">_xll.BDP(B75&amp;" Equity","QUOTED_CURRENCY_REALTIME")</f>
        <v>USD</v>
      </c>
      <c r="G75" s="104" t="s">
        <v>247</v>
      </c>
      <c r="H75" s="95">
        <v>230</v>
      </c>
      <c r="I75" s="96">
        <f>IF(G75="Buy",L75,K75)</f>
        <v>8.1</v>
      </c>
      <c r="J75" s="18">
        <f>I75/S75</f>
        <v>2.036813518406759E-2</v>
      </c>
      <c r="K75" s="35" cm="1">
        <f t="array" ref="K75">_xll.BDP($B75&amp;" Equity","bid")</f>
        <v>7.25</v>
      </c>
      <c r="L75" s="35" cm="1">
        <f t="array" ref="L75">_xll.BDP($B75&amp;" Equity","ask")</f>
        <v>8.1</v>
      </c>
      <c r="M75" s="39">
        <f>(L75/K75-1)</f>
        <v>0.11724137931034484</v>
      </c>
      <c r="N75" s="35" cm="1">
        <f t="array" ref="N75">_xll.BDP(F75&amp;" Curncy","PX_LAST")</f>
        <v>1</v>
      </c>
      <c r="O75" s="161" cm="1">
        <f t="array" ref="O75">_xll.BDP(B75&amp;" Equity","OPT_MULTIPLIER")</f>
        <v>100</v>
      </c>
      <c r="P75" s="15">
        <f>IF(G75="Buy",((I75/N75)*H75*O75),((I75/N75)*-H75*O75))</f>
        <v>186300</v>
      </c>
      <c r="Q75" s="57">
        <f>P75/'Master P&amp;L'!$AD$5*10000</f>
        <v>0.82946167072045018</v>
      </c>
      <c r="R75" s="36" t="e" cm="1">
        <f t="array" ref="R75">_xll.BDP($C75&amp;" Equity","EST_PE_NXT_YR")*(T75/S75)</f>
        <v>#VALUE!</v>
      </c>
      <c r="S75" s="35" cm="1">
        <f t="array" ref="S75">_xll.BDP(C75&amp;" Equity","LAST_PRICE")</f>
        <v>397.68</v>
      </c>
      <c r="T75" s="52" cm="1">
        <f t="array" ref="T75">_xll.BDP(B75&amp;" Equity","OPT_STRIKE_PX")</f>
        <v>390</v>
      </c>
      <c r="U75" s="18">
        <f>T75/S75-1</f>
        <v>-1.931200965600488E-2</v>
      </c>
      <c r="V75" s="36" cm="1">
        <f t="array" ref="V75">_xll.BDP($B75&amp;" Equity","ivol_mid")</f>
        <v>40.246630000000003</v>
      </c>
      <c r="W75" s="37" cm="1">
        <f t="array" ref="W75">_xll.BDP(B75&amp;" Equity","DELTA_MID_RT")</f>
        <v>-0.37370994687080383</v>
      </c>
      <c r="X75" s="47">
        <f>Y75/'Master P&amp;L'!$AE$5</f>
        <v>-1.5218775508657237E-3</v>
      </c>
      <c r="Y75" s="15">
        <f>IF(G75="Sell", S75*W75*-H75*O75/N75, S75*W75*H75*O75/N75)</f>
        <v>-3418190.3484463692</v>
      </c>
      <c r="Z75" s="15" cm="1">
        <f t="array" ref="Z75">_xll.BDP($B75&amp;" Equity","opt_theta")*H75*O75/N75</f>
        <v>-10945.262999999999</v>
      </c>
      <c r="AA75" s="18" cm="1">
        <f t="array" ref="AA75">_xll.BDP($B75&amp;" Equity","opt_theta")/I75</f>
        <v>-5.8750740740740742E-2</v>
      </c>
      <c r="AB75" s="35" t="str" cm="1">
        <f t="array" ref="AB75">_xll.BDP($C75&amp;" Equity","EXPECTED_REPORT_DT")</f>
        <v>#N/A N/A</v>
      </c>
      <c r="AC75" s="15">
        <f>S75*H75*O75/N75</f>
        <v>9146640</v>
      </c>
      <c r="AD75" s="47">
        <f>AC75/'Master P&amp;L'!$AE$5</f>
        <v>4.0723495952112174E-3</v>
      </c>
      <c r="AE75" t="str">
        <f>B75&amp;" -&gt; Buy to open "&amp;H75&amp;"x"</f>
        <v>SMH US 02/13/26 P390 -&gt; Buy to open 230x</v>
      </c>
    </row>
    <row r="76" spans="1:31">
      <c r="A76" s="97" t="s">
        <v>256</v>
      </c>
      <c r="B76" s="58" t="s">
        <v>2472</v>
      </c>
      <c r="C76" t="str" cm="1">
        <f t="array" ref="C76">_xll.BDP(B76&amp;" Equity","OPT_UNDL_TICKER")</f>
        <v>QQQ US</v>
      </c>
      <c r="D76" t="str" cm="1">
        <f t="array" ref="D76">_xll.BDP($B76&amp;" Equity","mifid_Maturity_date")</f>
        <v>06/02/2026</v>
      </c>
      <c r="E76" cm="1">
        <f t="array" ref="E76">_xll.BDP($B76&amp;" Equity","opt_days_expire")</f>
        <v>3</v>
      </c>
      <c r="F76" t="s">
        <v>194</v>
      </c>
      <c r="G76" s="104" t="s">
        <v>248</v>
      </c>
      <c r="H76" s="95">
        <f>H75</f>
        <v>230</v>
      </c>
      <c r="I76" s="96">
        <f>IF(G76="Buy",L76,K76)</f>
        <v>4.87</v>
      </c>
      <c r="J76" s="18">
        <f>I76/S76</f>
        <v>7.8991760202426521E-3</v>
      </c>
      <c r="K76" s="35" cm="1">
        <f t="array" ref="K76">_xll.BDP($B76&amp;" Equity","bid")</f>
        <v>4.87</v>
      </c>
      <c r="L76" s="35" cm="1">
        <f t="array" ref="L76">_xll.BDP($B76&amp;" Equity","ask")</f>
        <v>5.36</v>
      </c>
      <c r="M76" s="39">
        <f>(L76/K76-1)</f>
        <v>0.10061601642710483</v>
      </c>
      <c r="N76" s="35" cm="1">
        <f t="array" ref="N76">_xll.BDP(F76&amp;" Curncy","PX_LAST")</f>
        <v>1</v>
      </c>
      <c r="O76" s="161" cm="1">
        <f t="array" ref="O76">_xll.BDP(B76&amp;" Equity","OPT_MULTIPLIER")</f>
        <v>100</v>
      </c>
      <c r="P76" s="15">
        <f>IF(G76="Buy",((I76/N76)*H76*O76),((I76/N76)*-H76*O76))</f>
        <v>-112010.00000000001</v>
      </c>
      <c r="Q76" s="57">
        <f>P76/'Master P&amp;L'!$AD$5*10000</f>
        <v>-0.49870102918624609</v>
      </c>
      <c r="R76" s="36" t="e" cm="1">
        <f t="array" ref="R76">_xll.BDP($C76&amp;" Equity","EST_PE_NXT_YR")*(T76/S76)</f>
        <v>#VALUE!</v>
      </c>
      <c r="S76" s="35" cm="1">
        <f t="array" ref="S76">_xll.BDP(C76&amp;" Equity","LAST_PRICE")</f>
        <v>616.52</v>
      </c>
      <c r="T76" s="52" cm="1">
        <f t="array" ref="T76">_xll.BDP(B76&amp;" Equity","OPT_STRIKE_PX")</f>
        <v>615</v>
      </c>
      <c r="U76" s="18">
        <f>T76/S76-1</f>
        <v>-2.4654512424576724E-3</v>
      </c>
      <c r="V76" s="36" cm="1">
        <f t="array" ref="V76">_xll.BDP($B76&amp;" Equity","ivol_mid")</f>
        <v>22.132960000000001</v>
      </c>
      <c r="W76" s="37" cm="1">
        <f t="array" ref="W76">_xll.BDP(B76&amp;" Equity","DELTA_MID_RT")</f>
        <v>-0.44948604702949524</v>
      </c>
      <c r="X76" s="47">
        <f>Y76/'Master P&amp;L'!$AE$5</f>
        <v>2.8377536300498944E-3</v>
      </c>
      <c r="Y76" s="15">
        <f>IF(G76="Sell", S76*W76*-H76*O76/N76, S76*W76*H76*O76/N76)</f>
        <v>6373694.1674363613</v>
      </c>
      <c r="Z76" s="15" cm="1">
        <f t="array" ref="Z76">_xll.BDP($B76&amp;" Equity","opt_theta")*H76*O76/N76</f>
        <v>-16611.635000000002</v>
      </c>
      <c r="AA76" s="18" cm="1">
        <f t="array" ref="AA76">_xll.BDP($B76&amp;" Equity","opt_theta")/I76</f>
        <v>-0.14830492813141685</v>
      </c>
      <c r="AB76" s="35" t="str" cm="1">
        <f t="array" ref="AB76">_xll.BDP($C76&amp;" Equity","EXPECTED_REPORT_DT")</f>
        <v>#N/A N/A</v>
      </c>
      <c r="AC76" s="15">
        <f>S76*H76*O76/N76</f>
        <v>14179960</v>
      </c>
      <c r="AD76" s="47">
        <f>AC76/'Master P&amp;L'!$AE$5</f>
        <v>6.3133297436119996E-3</v>
      </c>
      <c r="AE76" t="str">
        <f>B76&amp;" -&gt; Buy to open "&amp;H76&amp;"x"</f>
        <v>QQQ US 02/06/26 P615 -&gt; Buy to open 230x</v>
      </c>
    </row>
    <row r="77" spans="1:31">
      <c r="H77" s="99" t="s">
        <v>116</v>
      </c>
      <c r="I77" s="101">
        <f>I75-I76*H74</f>
        <v>3.2299999999999995</v>
      </c>
      <c r="J77" s="99" t="s">
        <v>249</v>
      </c>
      <c r="K77" s="100">
        <f>K76/L75</f>
        <v>0.60123456790123464</v>
      </c>
      <c r="P77" s="99" t="s">
        <v>250</v>
      </c>
      <c r="Q77" s="107">
        <f>Q75+Q76</f>
        <v>0.33076064153420409</v>
      </c>
      <c r="S77" s="99" t="s">
        <v>251</v>
      </c>
      <c r="T77" s="101">
        <f>T75-T76</f>
        <v>-225</v>
      </c>
      <c r="W77" s="99" t="s">
        <v>252</v>
      </c>
      <c r="X77" s="121">
        <f>X75+X76</f>
        <v>1.3158760791841706E-3</v>
      </c>
      <c r="AC77" s="99" t="s">
        <v>229</v>
      </c>
      <c r="AD77" s="121">
        <f>AD75</f>
        <v>4.0723495952112174E-3</v>
      </c>
    </row>
    <row r="78" spans="1:31">
      <c r="H78" s="99" t="s">
        <v>253</v>
      </c>
      <c r="I78" s="101">
        <f>(T77-I77)/I77</f>
        <v>-70.659442724458216</v>
      </c>
      <c r="J78" s="99" t="s">
        <v>145</v>
      </c>
      <c r="K78" s="108">
        <f>AVERAGE(K75:L75)-AVERAGE(K76:L76)</f>
        <v>2.5599999999999996</v>
      </c>
      <c r="P78" s="99"/>
      <c r="Q78" s="107"/>
      <c r="S78" s="99"/>
      <c r="T78" s="101"/>
      <c r="W78" s="99"/>
      <c r="X78" s="121"/>
      <c r="Y78" s="15">
        <f>Y75+Y76</f>
        <v>2955503.8189899921</v>
      </c>
      <c r="AC78" s="99"/>
      <c r="AD78" s="103"/>
    </row>
    <row r="79" spans="1:31">
      <c r="I79" s="63"/>
      <c r="K79" s="63" t="e">
        <f>K78-K71</f>
        <v>#DIV/0!</v>
      </c>
      <c r="L79" s="63"/>
      <c r="N79" s="233" t="e">
        <f>K71-(K78*3)</f>
        <v>#DIV/0!</v>
      </c>
      <c r="W79" s="49">
        <f>W75-W76</f>
        <v>7.5776100158691406E-2</v>
      </c>
      <c r="Y79" s="63">
        <f>Y78/S75</f>
        <v>7431.8643607674312</v>
      </c>
    </row>
    <row r="80" spans="1:31">
      <c r="H80">
        <v>1</v>
      </c>
      <c r="I80" s="63"/>
      <c r="K80" s="63"/>
      <c r="L80" s="63"/>
      <c r="W80" s="49"/>
      <c r="Y80" s="63"/>
    </row>
    <row r="81" spans="1:38">
      <c r="A81" s="97" t="s">
        <v>256</v>
      </c>
      <c r="B81" s="58" t="s">
        <v>2499</v>
      </c>
      <c r="C81" t="str" cm="1">
        <f t="array" ref="C81">_xll.BDP(B81&amp;" Equity","OPT_UNDL_TICKER")</f>
        <v>QQQ US</v>
      </c>
      <c r="D81" t="str" cm="1">
        <f t="array" ref="D81">_xll.BDP($B81&amp;" Index","mifid_Maturity_date")</f>
        <v>03/02/2026</v>
      </c>
      <c r="E81" cm="1">
        <f t="array" ref="E81">_xll.BDP($B81&amp;" Index","opt_days_expire")</f>
        <v>0</v>
      </c>
      <c r="F81" t="str">
        <f>_xll.BDP(B81&amp;" Equity","QUOTED_CURRENCY_REALTIME")</f>
        <v>USD</v>
      </c>
      <c r="G81" s="104" t="s">
        <v>247</v>
      </c>
      <c r="H81" s="95">
        <v>1000</v>
      </c>
      <c r="I81" s="96">
        <f>IF(G81="Buy",L81,K81)</f>
        <v>0.02</v>
      </c>
      <c r="J81" s="18">
        <f>I81/S81</f>
        <v>3.2440147927074549E-5</v>
      </c>
      <c r="K81" s="35">
        <f>_xll.BDP($B81&amp;" Equity","bid")</f>
        <v>0.01</v>
      </c>
      <c r="L81" s="35">
        <f>_xll.BDP($B81&amp;" Equity","ask")</f>
        <v>0.02</v>
      </c>
      <c r="M81" s="39">
        <f>(L81/K81-1)</f>
        <v>1</v>
      </c>
      <c r="N81" s="35" cm="1">
        <f t="array" ref="N81">_xll.BDP(F81&amp;" Curncy","PX_LAST")</f>
        <v>1</v>
      </c>
      <c r="O81" s="161" cm="1">
        <f t="array" ref="O81">_xll.BDP(B81&amp;" Equity","OPT_MULTIPLIER")</f>
        <v>100</v>
      </c>
      <c r="P81" s="15">
        <f>IF(G81="Buy",((I81/N81)*H81*O81),((I81/N81)*-H81*O81))</f>
        <v>2000</v>
      </c>
      <c r="Q81" s="57">
        <f>P81/'Master P&amp;L'!$AD$5*10000</f>
        <v>8.9045804693553433E-3</v>
      </c>
      <c r="R81" s="36" t="e" cm="1">
        <f t="array" ref="R81">_xll.BDP($C81&amp;" Equity","EST_PE_NXT_YR")*(T81/S81)</f>
        <v>#VALUE!</v>
      </c>
      <c r="S81" s="35" cm="1">
        <f t="array" ref="S81">_xll.BDP(C81&amp;" Equity","LAST_PRICE")</f>
        <v>616.52</v>
      </c>
      <c r="T81" s="52" cm="1">
        <f t="array" ref="T81">_xll.BDP(B81&amp;" Equity","OPT_STRIKE_PX")</f>
        <v>613</v>
      </c>
      <c r="U81" s="18">
        <f>T81/S81-1</f>
        <v>-5.7094660351650894E-3</v>
      </c>
      <c r="V81" s="36" cm="1">
        <f t="array" ref="V81">_xll.BDP($B81&amp;" Equity","ivol_mid")</f>
        <v>39.270769999999999</v>
      </c>
      <c r="W81" s="37">
        <f>_xll.BDP(B81&amp;" Equity","DELTA_MID_RT")</f>
        <v>-1.1649949476122856E-2</v>
      </c>
      <c r="X81" s="47">
        <f>Y81/'Master P&amp;L'!$AE$5</f>
        <v>-3.1978248930079764E-4</v>
      </c>
      <c r="Y81" s="15">
        <f>IF(G81="Sell", S81*W81*-H81*O81/N81, S81*W81*H81*O81/N81)</f>
        <v>-718242.68510192633</v>
      </c>
      <c r="Z81" s="15" cm="1">
        <f t="array" ref="Z81">_xll.BDP($B81&amp;" Equity","opt_theta")*H81*O81/N81</f>
        <v>0</v>
      </c>
      <c r="AA81" s="18" cm="1">
        <f t="array" ref="AA81">_xll.BDP($B81&amp;" Equity","opt_theta")/I81</f>
        <v>0</v>
      </c>
      <c r="AB81" s="35" t="str" cm="1">
        <f t="array" ref="AB81">_xll.BDP($C81&amp;" Equity","EXPECTED_REPORT_DT")</f>
        <v>#N/A N/A</v>
      </c>
      <c r="AC81" s="15">
        <f>S81*H81*O81/N81</f>
        <v>61652000</v>
      </c>
      <c r="AD81" s="47">
        <f>AC81/'Master P&amp;L'!$AE$5</f>
        <v>2.7449259754834782E-2</v>
      </c>
      <c r="AE81" t="str">
        <f>B81&amp;" -&gt; Buy to open "&amp;H81&amp;"x"</f>
        <v>QQQ US 02/03/26 P613 -&gt; Buy to open 1000x</v>
      </c>
    </row>
    <row r="82" spans="1:38">
      <c r="A82" s="97" t="s">
        <v>256</v>
      </c>
      <c r="B82" s="58" t="s">
        <v>2500</v>
      </c>
      <c r="C82" t="str" cm="1">
        <f t="array" ref="C82">_xll.BDP(B82&amp;" Equity","OPT_UNDL_TICKER")</f>
        <v>QQQ US</v>
      </c>
      <c r="D82" t="str" cm="1">
        <f t="array" ref="D82">_xll.BDP($B82&amp;" Equity","mifid_Maturity_date")</f>
        <v>03/02/2026</v>
      </c>
      <c r="E82" cm="1">
        <f t="array" ref="E82">_xll.BDP($B82&amp;" Equity","opt_days_expire")</f>
        <v>0</v>
      </c>
      <c r="F82" t="s">
        <v>194</v>
      </c>
      <c r="G82" s="104" t="s">
        <v>248</v>
      </c>
      <c r="H82" s="95">
        <f>H81</f>
        <v>1000</v>
      </c>
      <c r="I82" s="96" t="str">
        <f>IF(G82="Buy",L82,K82)</f>
        <v>#N/A N/A</v>
      </c>
      <c r="J82" s="18" t="e">
        <f>I82/S82</f>
        <v>#VALUE!</v>
      </c>
      <c r="K82" s="35" t="str" cm="1">
        <f t="array" ref="K82">_xll.BDP($B82&amp;" Equity","bid")</f>
        <v>#N/A N/A</v>
      </c>
      <c r="L82" s="35" cm="1">
        <f t="array" ref="L82">_xll.BDP($B82&amp;" Equity","ask")</f>
        <v>0.01</v>
      </c>
      <c r="M82" s="39" t="e">
        <f>(L82/K82-1)</f>
        <v>#VALUE!</v>
      </c>
      <c r="N82" s="35" cm="1">
        <f t="array" ref="N82">_xll.BDP(F82&amp;" Curncy","PX_LAST")</f>
        <v>1</v>
      </c>
      <c r="O82" s="161" cm="1">
        <f t="array" ref="O82">_xll.BDP(B82&amp;" Equity","OPT_MULTIPLIER")</f>
        <v>100</v>
      </c>
      <c r="P82" s="15" t="e">
        <f>IF(G82="Buy",((I82/N82)*H82*O82),((I82/N82)*-H82*O82))</f>
        <v>#VALUE!</v>
      </c>
      <c r="Q82" s="57" t="e">
        <f>P82/'Master P&amp;L'!$AD$5*10000</f>
        <v>#VALUE!</v>
      </c>
      <c r="R82" s="36" t="e" cm="1">
        <f t="array" ref="R82">_xll.BDP($C82&amp;" Equity","EST_PE_NXT_YR")*(T82/S82)</f>
        <v>#VALUE!</v>
      </c>
      <c r="S82" s="35" cm="1">
        <f t="array" ref="S82">_xll.BDP(C82&amp;" Equity","LAST_PRICE")</f>
        <v>616.52</v>
      </c>
      <c r="T82" s="52" cm="1">
        <f t="array" ref="T82">_xll.BDP(B82&amp;" Equity","OPT_STRIKE_PX")</f>
        <v>612</v>
      </c>
      <c r="U82" s="18">
        <f>T82/S82-1</f>
        <v>-7.3314734315188534E-3</v>
      </c>
      <c r="V82" s="36" cm="1">
        <f t="array" ref="V82">_xll.BDP($B82&amp;" Equity","ivol_mid")</f>
        <v>39.469970000000004</v>
      </c>
      <c r="W82" s="37" cm="1">
        <f t="array" ref="W82">_xll.BDP(B82&amp;" Equity","DELTA_MID_RT")</f>
        <v>-9.2711914330720901E-3</v>
      </c>
      <c r="X82" s="47">
        <f>Y82/'Master P&amp;L'!$AE$5</f>
        <v>2.5448734188319473E-4</v>
      </c>
      <c r="Y82" s="15">
        <f>IF(G82="Sell", S82*W82*-H82*O82/N82, S82*W82*H82*O82/N82)</f>
        <v>571587.4942317605</v>
      </c>
      <c r="Z82" s="15" cm="1">
        <f t="array" ref="Z82">_xll.BDP($B82&amp;" Equity","opt_theta")*H82*O82/N82</f>
        <v>0</v>
      </c>
      <c r="AA82" s="18" t="e" cm="1">
        <f t="array" ref="AA82">_xll.BDP($B82&amp;" Equity","opt_theta")/I82</f>
        <v>#VALUE!</v>
      </c>
      <c r="AB82" s="35" t="str" cm="1">
        <f t="array" ref="AB82">_xll.BDP($C82&amp;" Equity","EXPECTED_REPORT_DT")</f>
        <v>#N/A N/A</v>
      </c>
      <c r="AC82" s="15">
        <f>S82*H82*O82/N82</f>
        <v>61652000</v>
      </c>
      <c r="AD82" s="47">
        <f>AC82/'Master P&amp;L'!$AE$5</f>
        <v>2.7449259754834782E-2</v>
      </c>
      <c r="AE82" t="str">
        <f>B82&amp;" -&gt; Buy to open "&amp;H82&amp;"x"</f>
        <v>QQQ US 02/03/26 P612 -&gt; Buy to open 1000x</v>
      </c>
    </row>
    <row r="83" spans="1:38">
      <c r="H83" s="99" t="s">
        <v>116</v>
      </c>
      <c r="I83" s="101" t="e">
        <f>I81-I82</f>
        <v>#VALUE!</v>
      </c>
      <c r="J83" s="99" t="s">
        <v>249</v>
      </c>
      <c r="K83" s="100" t="e">
        <f>K82/L81</f>
        <v>#VALUE!</v>
      </c>
      <c r="P83" s="99" t="s">
        <v>250</v>
      </c>
      <c r="Q83" s="107" t="e">
        <f>Q81+Q82</f>
        <v>#VALUE!</v>
      </c>
      <c r="S83" s="99" t="s">
        <v>251</v>
      </c>
      <c r="T83" s="101">
        <f>T81-T82</f>
        <v>1</v>
      </c>
      <c r="W83" s="99" t="s">
        <v>252</v>
      </c>
      <c r="X83" s="121">
        <f>X81+X82</f>
        <v>-6.5295147417602909E-5</v>
      </c>
      <c r="AC83" s="99" t="s">
        <v>229</v>
      </c>
      <c r="AD83" s="121">
        <f>AD81</f>
        <v>2.7449259754834782E-2</v>
      </c>
    </row>
    <row r="84" spans="1:38">
      <c r="H84" s="99" t="s">
        <v>253</v>
      </c>
      <c r="I84" s="101" t="e">
        <f>(T83-I83)/I83</f>
        <v>#VALUE!</v>
      </c>
      <c r="J84" s="99" t="s">
        <v>145</v>
      </c>
      <c r="K84" s="108">
        <f>AVERAGE(K81:L81)-AVERAGE(K82:L82)</f>
        <v>4.9999999999999992E-3</v>
      </c>
      <c r="P84" s="99"/>
      <c r="Q84" s="107"/>
      <c r="S84" s="99"/>
      <c r="T84" s="101"/>
      <c r="W84" s="99"/>
      <c r="X84" s="121"/>
      <c r="Y84" s="15">
        <f>Y81+Y82</f>
        <v>-146655.19087016582</v>
      </c>
      <c r="AC84" s="99"/>
      <c r="AD84" s="103"/>
    </row>
    <row r="85" spans="1:38">
      <c r="K85" s="63">
        <f>K84-K78</f>
        <v>-2.5549999999999997</v>
      </c>
      <c r="Y85" s="63">
        <f>Y84/S81</f>
        <v>-237.8758043050766</v>
      </c>
    </row>
    <row r="86" spans="1:38" s="58" customFormat="1">
      <c r="O86" s="162"/>
      <c r="X86" s="126"/>
      <c r="Y86" s="78"/>
      <c r="AL86" s="14"/>
    </row>
    <row r="87" spans="1:38">
      <c r="L87" t="e">
        <f>K89/L90</f>
        <v>#VALUE!</v>
      </c>
      <c r="Y87" s="63"/>
    </row>
    <row r="88" spans="1:38">
      <c r="B88" s="160" t="s">
        <v>259</v>
      </c>
      <c r="D88" s="160" t="str">
        <f>D89</f>
        <v>27/05/2025</v>
      </c>
      <c r="H88" s="160">
        <v>1</v>
      </c>
      <c r="I88" s="63"/>
    </row>
    <row r="89" spans="1:38">
      <c r="A89" s="97" t="s">
        <v>246</v>
      </c>
      <c r="B89" s="58" t="s">
        <v>1703</v>
      </c>
      <c r="C89" t="str" cm="1">
        <f t="array" ref="C89">_xll.BDP(B89&amp;" Index","OPT_UNDL_TICKER")</f>
        <v>IMBM5</v>
      </c>
      <c r="D89" t="str" cm="1">
        <f t="array" ref="D89">_xll.BDP($B89&amp;" Index","mifid_Maturity_date")</f>
        <v>27/05/2025</v>
      </c>
      <c r="E89" cm="1">
        <f t="array" ref="E89">_xll.BDP($B89&amp;" Index","opt_days_expire")</f>
        <v>-252</v>
      </c>
      <c r="F89" t="str" cm="1">
        <f t="array" ref="F89">_xll.BDP(B89&amp;" Index","QUOTED_CURRENCY_REALTIME")</f>
        <v>#N/A Real Time</v>
      </c>
      <c r="G89" s="104" t="s">
        <v>247</v>
      </c>
      <c r="H89" s="95">
        <v>50</v>
      </c>
      <c r="I89" s="96" t="str">
        <f>IF(G89="Buy",L89,K89)</f>
        <v>#N/A Real Time</v>
      </c>
      <c r="J89" s="18" t="e">
        <f>I89/S89</f>
        <v>#VALUE!</v>
      </c>
      <c r="K89" s="35" t="str" cm="1">
        <f t="array" ref="K89">_xll.BDP($B89&amp;" Index","bid")</f>
        <v>#N/A Real Time</v>
      </c>
      <c r="L89" s="35" t="str" cm="1">
        <f t="array" ref="L89">_xll.BDP($B89&amp;" Index","ask")</f>
        <v>#N/A Real Time</v>
      </c>
      <c r="M89" s="39" t="e">
        <f>(L89/K89-1)</f>
        <v>#VALUE!</v>
      </c>
      <c r="N89" s="35" t="str">
        <f>_xll.BDP(F89&amp;" Curncy","PX_LAST")</f>
        <v>#N/A Real Time Curncy</v>
      </c>
      <c r="O89" s="164">
        <v>50</v>
      </c>
      <c r="P89" s="15" t="e">
        <f>IF(G89="Buy",((I89/N89)*H89*O89),((I89/N89)*-H89*O89))</f>
        <v>#VALUE!</v>
      </c>
      <c r="Q89" s="57" t="e">
        <f>P89/'Master P&amp;L'!$AD$5*10000</f>
        <v>#VALUE!</v>
      </c>
      <c r="R89" s="36" t="e" cm="1">
        <f t="array" ref="R89">_xll.BDP($C89&amp;" Index","EST_PE_NXT_YR")*(T89/S89)</f>
        <v>#VALUE!</v>
      </c>
      <c r="S89" s="35" t="str" cm="1">
        <f t="array" ref="S89">_xll.BDP(C89&amp;" Index","LAST_PRICE")</f>
        <v>#N/A Real Time</v>
      </c>
      <c r="T89" s="52" cm="1">
        <f t="array" ref="T89">_xll.BDP(B89&amp;" Index","OPT_STRIKE_PX")</f>
        <v>5840</v>
      </c>
      <c r="U89" s="39" t="e">
        <f>T89/S89-1</f>
        <v>#VALUE!</v>
      </c>
      <c r="V89" s="36" t="str" cm="1">
        <f t="array" ref="V89">_xll.BDP($B89&amp;" Index","ivol_mid")</f>
        <v>#N/A Field Not Applicable</v>
      </c>
      <c r="W89" s="37" t="str" cm="1">
        <f t="array" ref="W89">_xll.BDP(B89&amp;" Index","DELTA_MID_RT")</f>
        <v>#N/A Real Time</v>
      </c>
      <c r="X89" s="47" t="e">
        <f>Y89/'Master P&amp;L'!$AE$5</f>
        <v>#VALUE!</v>
      </c>
      <c r="Y89" s="15" t="e">
        <f>IF(G89="Sell", S89*W89*-H89*O89/N89, S89*W89*H89*O89/N89)</f>
        <v>#VALUE!</v>
      </c>
      <c r="Z89" s="15" t="e" cm="1">
        <f t="array" ref="Z89">_xll.BDP($B89&amp;" Index","opt_theta")*H89*O89/N89</f>
        <v>#VALUE!</v>
      </c>
      <c r="AA89" s="125" t="e" cm="1">
        <f t="array" ref="AA89">_xll.BDP($B89&amp;" Index","opt_theta")/I89</f>
        <v>#VALUE!</v>
      </c>
      <c r="AB89" s="35" t="str" cm="1">
        <f t="array" ref="AB89">_xll.BDP($C89&amp;" Index","EXPECTED_REPORT_DT")</f>
        <v>#N/A Field Not Applicable</v>
      </c>
      <c r="AC89" s="15" t="e">
        <f>S89*H89*O89/N89</f>
        <v>#VALUE!</v>
      </c>
      <c r="AD89" s="47" t="e">
        <f>AC89/'Master P&amp;L'!$AE$5</f>
        <v>#VALUE!</v>
      </c>
      <c r="AG89" t="str">
        <f>B89&amp;" -&gt; Buy to open "&amp;H89&amp;"x"</f>
        <v>IMBWK5C4 5840 -&gt; Buy to open 50x</v>
      </c>
    </row>
    <row r="90" spans="1:38">
      <c r="A90" s="97"/>
      <c r="B90" s="58" t="s">
        <v>1702</v>
      </c>
      <c r="C90" t="str" cm="1">
        <f t="array" ref="C90">_xll.BDP(B90&amp;" Index","OPT_UNDL_TICKER")</f>
        <v>IMBM5</v>
      </c>
      <c r="D90" t="str" cm="1">
        <f t="array" ref="D90">_xll.BDP($B90&amp;" Index","mifid_Maturity_date")</f>
        <v>27/05/2025</v>
      </c>
      <c r="E90" cm="1">
        <f t="array" ref="E90">_xll.BDP($B90&amp;" Index","opt_days_expire")</f>
        <v>-252</v>
      </c>
      <c r="F90" t="str" cm="1">
        <f t="array" ref="F90">_xll.BDP(B90&amp;" Index","QUOTED_CURRENCY_REALTIME")</f>
        <v>#N/A Real Time</v>
      </c>
      <c r="G90" s="104" t="s">
        <v>248</v>
      </c>
      <c r="H90" s="95">
        <f>H89</f>
        <v>50</v>
      </c>
      <c r="I90" s="96" t="str">
        <f>IF(G90="Buy",L90,K90)</f>
        <v>#N/A Real Time</v>
      </c>
      <c r="J90" s="18" t="e">
        <f>I90/S90</f>
        <v>#VALUE!</v>
      </c>
      <c r="K90" s="35" t="str" cm="1">
        <f t="array" ref="K90">_xll.BDP($B90&amp;" Index","bid")</f>
        <v>#N/A Real Time</v>
      </c>
      <c r="L90" s="35" t="str" cm="1">
        <f t="array" ref="L90">_xll.BDP($B90&amp;" Index","ask")</f>
        <v>#N/A Real Time</v>
      </c>
      <c r="M90" s="39" t="e">
        <f>(L90/K90-1)</f>
        <v>#VALUE!</v>
      </c>
      <c r="N90" s="35" t="str">
        <f>_xll.BDP(F90&amp;" Curncy","PX_LAST")</f>
        <v>#N/A Real Time Curncy</v>
      </c>
      <c r="O90" s="164">
        <v>50</v>
      </c>
      <c r="P90" s="15" t="e">
        <f>IF(G90="Buy",((I90/N90)*H90*O90),((I90/N90)*-H90*O90))</f>
        <v>#VALUE!</v>
      </c>
      <c r="Q90" s="57" t="e">
        <f>P90/'Master P&amp;L'!$AD$5*10000</f>
        <v>#VALUE!</v>
      </c>
      <c r="R90" s="36" t="e" cm="1">
        <f t="array" ref="R90">_xll.BDP($C90&amp;" Index","EST_PE_NXT_YR")*(T90/S90)</f>
        <v>#VALUE!</v>
      </c>
      <c r="S90" s="35" t="str" cm="1">
        <f t="array" ref="S90">_xll.BDP(C90&amp;" Index","LAST_PRICE")</f>
        <v>#N/A Real Time</v>
      </c>
      <c r="T90" s="52" cm="1">
        <f t="array" ref="T90">_xll.BDP(B90&amp;" Index","OPT_STRIKE_PX")</f>
        <v>5880</v>
      </c>
      <c r="U90" s="39" t="e">
        <f>T90/S90-1</f>
        <v>#VALUE!</v>
      </c>
      <c r="V90" s="36" t="str" cm="1">
        <f t="array" ref="V90">_xll.BDP($B90&amp;" Index","ivol_mid")</f>
        <v>#N/A Field Not Applicable</v>
      </c>
      <c r="W90" s="37" t="str" cm="1">
        <f t="array" ref="W90">_xll.BDP(B90&amp;" Index","DELTA_MID_RT")</f>
        <v>#N/A Real Time</v>
      </c>
      <c r="X90" s="47" t="e">
        <f>Y90/'Master P&amp;L'!$AE$5</f>
        <v>#VALUE!</v>
      </c>
      <c r="Y90" s="15" t="e">
        <f>IF(G90="Sell", S90*W90*-H90*O90/N90, S90*W90*H90*O90/N90)</f>
        <v>#VALUE!</v>
      </c>
      <c r="Z90" s="15" t="e" cm="1">
        <f t="array" ref="Z90">_xll.BDP($B90&amp;" Index","opt_theta")*H90*O90/N90</f>
        <v>#VALUE!</v>
      </c>
      <c r="AA90" s="125" t="e" cm="1">
        <f t="array" ref="AA90">_xll.BDP($B90&amp;" Index","opt_theta")/I90</f>
        <v>#VALUE!</v>
      </c>
      <c r="AB90" s="35" t="str" cm="1">
        <f t="array" ref="AB90">_xll.BDP($C90&amp;" Index","EXPECTED_REPORT_DT")</f>
        <v>#N/A Field Not Applicable</v>
      </c>
      <c r="AC90" s="15" t="e">
        <f>S90*H90*O90/N90</f>
        <v>#VALUE!</v>
      </c>
      <c r="AD90" s="47" t="e">
        <f>AC90/'Master P&amp;L'!$AE$5</f>
        <v>#VALUE!</v>
      </c>
      <c r="AG90" t="str">
        <f>B90&amp;" -&gt; Buy to open "&amp;H90&amp;"x"</f>
        <v>IMBWK5C4 5880 -&gt; Buy to open 50x</v>
      </c>
    </row>
    <row r="91" spans="1:38">
      <c r="H91" s="99" t="s">
        <v>116</v>
      </c>
      <c r="I91" s="101">
        <v>10</v>
      </c>
      <c r="J91" s="99" t="s">
        <v>249</v>
      </c>
      <c r="K91" s="100" t="e">
        <f>K90/L89</f>
        <v>#VALUE!</v>
      </c>
      <c r="O91" s="163"/>
      <c r="P91" s="99" t="s">
        <v>250</v>
      </c>
      <c r="Q91" s="107" t="e">
        <f>Q89+Q90</f>
        <v>#VALUE!</v>
      </c>
      <c r="S91" s="99" t="s">
        <v>251</v>
      </c>
      <c r="T91" s="101">
        <f>T90-T89</f>
        <v>40</v>
      </c>
      <c r="W91" s="99" t="s">
        <v>252</v>
      </c>
      <c r="X91" s="121" t="e">
        <f>X89+X90</f>
        <v>#VALUE!</v>
      </c>
      <c r="Y91" s="13" t="e">
        <f>Y89+Y90</f>
        <v>#VALUE!</v>
      </c>
      <c r="AC91" s="99" t="s">
        <v>229</v>
      </c>
      <c r="AD91" s="121" t="e">
        <f>AD89</f>
        <v>#VALUE!</v>
      </c>
    </row>
    <row r="92" spans="1:38">
      <c r="H92" s="99" t="s">
        <v>253</v>
      </c>
      <c r="I92" s="101">
        <f>(T91-I91)/I91</f>
        <v>3</v>
      </c>
      <c r="J92" s="99" t="s">
        <v>145</v>
      </c>
      <c r="K92" s="108" t="e">
        <f>AVERAGE(K89:L89)-AVERAGE(K90:L90)</f>
        <v>#DIV/0!</v>
      </c>
      <c r="O92" s="163"/>
      <c r="P92" s="99"/>
      <c r="Q92" s="107"/>
      <c r="S92" s="99"/>
      <c r="T92" s="101"/>
      <c r="W92" s="99"/>
      <c r="X92" s="121"/>
      <c r="Y92" s="13" t="e">
        <f>Y91/S89</f>
        <v>#VALUE!</v>
      </c>
      <c r="AC92" s="99"/>
      <c r="AD92" s="103"/>
    </row>
    <row r="93" spans="1:38">
      <c r="L93" s="173" t="e">
        <f>K95-L101</f>
        <v>#VALUE!</v>
      </c>
      <c r="O93" s="163"/>
      <c r="Q93" t="e">
        <f>-Q97/Q103</f>
        <v>#VALUE!</v>
      </c>
    </row>
    <row r="94" spans="1:38">
      <c r="B94" s="160" t="s">
        <v>260</v>
      </c>
      <c r="D94" s="160" t="str">
        <f>D95</f>
        <v>31/03/2025</v>
      </c>
      <c r="H94" s="160">
        <v>1</v>
      </c>
      <c r="I94" s="63" t="e">
        <f>I95-I96</f>
        <v>#VALUE!</v>
      </c>
      <c r="K94" t="e">
        <f>K98/K104</f>
        <v>#DIV/0!</v>
      </c>
      <c r="O94" s="163"/>
      <c r="P94" s="13" t="e">
        <f>P95+P96</f>
        <v>#VALUE!</v>
      </c>
      <c r="S94" s="63"/>
    </row>
    <row r="95" spans="1:38">
      <c r="A95" s="97" t="s">
        <v>246</v>
      </c>
      <c r="B95" s="72" t="s">
        <v>261</v>
      </c>
      <c r="C95" t="str" cm="1">
        <f t="array" ref="C95">_xll.BDP(B95&amp;" Index","OPT_UNDL_TICKER")</f>
        <v>SCM5</v>
      </c>
      <c r="D95" t="str" cm="1">
        <f t="array" ref="D95">_xll.BDP($B95&amp;" Index","mifid_Maturity_date")</f>
        <v>31/03/2025</v>
      </c>
      <c r="E95" cm="1">
        <f t="array" ref="E95">_xll.BDP($B95&amp;" Index","opt_days_expire")</f>
        <v>-309</v>
      </c>
      <c r="F95" t="s">
        <v>194</v>
      </c>
      <c r="G95" s="104" t="s">
        <v>248</v>
      </c>
      <c r="H95" s="95">
        <v>307</v>
      </c>
      <c r="I95" s="96" t="str">
        <f>IF(G95="Buy",L95,K95)</f>
        <v>#N/A Real Time</v>
      </c>
      <c r="J95" s="18" t="e">
        <f>I95/S95</f>
        <v>#VALUE!</v>
      </c>
      <c r="K95" s="35" t="str" cm="1">
        <f t="array" ref="K95">_xll.BDP($B95&amp;" Index","bid")</f>
        <v>#N/A Real Time</v>
      </c>
      <c r="L95" s="35" t="str" cm="1">
        <f t="array" ref="L95">_xll.BDP($B95&amp;" Index","ask")</f>
        <v>#N/A Real Time</v>
      </c>
      <c r="M95" s="39" t="e">
        <f>(L95/K95-1)</f>
        <v>#VALUE!</v>
      </c>
      <c r="N95" s="35" cm="1">
        <f t="array" ref="N95">_xll.BDP(F95&amp;" Curncy","PX_LAST")</f>
        <v>1</v>
      </c>
      <c r="O95" s="164">
        <v>50</v>
      </c>
      <c r="P95" s="15" t="e">
        <f>IF(G95="Buy",((I95/N95)*H95*O95),((I95/N95)*-H95*O95))</f>
        <v>#VALUE!</v>
      </c>
      <c r="Q95" s="57" t="e">
        <f>P95/'Master P&amp;L'!$AD$5*10000</f>
        <v>#VALUE!</v>
      </c>
      <c r="R95" s="36" t="e" cm="1">
        <f t="array" ref="R95">_xll.BDP($C95&amp;" Index","EST_PE_NXT_YR")*(T95/S95)</f>
        <v>#VALUE!</v>
      </c>
      <c r="S95" s="35" t="str" cm="1">
        <f t="array" ref="S95">_xll.BDP(C95&amp;" Index","LAST_PRICE")</f>
        <v>#N/A Real Time</v>
      </c>
      <c r="T95" s="52" cm="1">
        <f t="array" ref="T95">_xll.BDP(B95&amp;" Index","OPT_STRIKE_PX")</f>
        <v>6150</v>
      </c>
      <c r="U95" s="39" t="e">
        <f>T95/S95-1</f>
        <v>#VALUE!</v>
      </c>
      <c r="V95" s="36" t="str" cm="1">
        <f t="array" ref="V95">_xll.BDP($B95&amp;" Index","ivol_mid")</f>
        <v>#N/A Field Not Applicable</v>
      </c>
      <c r="W95" s="37" t="str" cm="1">
        <f t="array" ref="W95">_xll.BDP(B95&amp;" Index","DELTA_MID_RT")</f>
        <v>#N/A Real Time</v>
      </c>
      <c r="X95" s="47" t="e">
        <f>Y95/'Master P&amp;L'!$AE$5</f>
        <v>#VALUE!</v>
      </c>
      <c r="Y95" s="15" t="e">
        <f>IF(G95="Sell", S95*W95*-H95*O95/N95, S95*W95*H95*O95/N95)</f>
        <v>#VALUE!</v>
      </c>
      <c r="Z95" s="15" t="e" cm="1">
        <f t="array" ref="Z95">_xll.BDP($B95&amp;" Index","opt_theta")*H95*O95/N95</f>
        <v>#VALUE!</v>
      </c>
      <c r="AA95" s="125" t="e" cm="1">
        <f t="array" ref="AA95">_xll.BDP($B95&amp;" Index","opt_theta")/I95</f>
        <v>#VALUE!</v>
      </c>
      <c r="AB95" s="35" t="str" cm="1">
        <f t="array" ref="AB95">_xll.BDP($C95&amp;" Index","EXPECTED_REPORT_DT")</f>
        <v>#N/A Field Not Applicable</v>
      </c>
      <c r="AC95" s="15" t="e">
        <f>S95*H95*O95/N95</f>
        <v>#VALUE!</v>
      </c>
      <c r="AD95" s="47" t="e">
        <f>AC95/'Master P&amp;L'!$AE$5</f>
        <v>#VALUE!</v>
      </c>
      <c r="AG95" t="str">
        <f>B95&amp;" -&gt; Buy to open "&amp;H95&amp;"x"</f>
        <v>SCH5C   6150 -&gt; Buy to open 307x</v>
      </c>
    </row>
    <row r="96" spans="1:38">
      <c r="A96" s="97" t="s">
        <v>254</v>
      </c>
      <c r="B96" t="s">
        <v>262</v>
      </c>
      <c r="C96" t="str" cm="1">
        <f t="array" ref="C96">_xll.BDP(B96&amp;" Index","OPT_UNDL_TICKER")</f>
        <v>SCM5</v>
      </c>
      <c r="D96" t="str" cm="1">
        <f t="array" ref="D96">_xll.BDP($B96&amp;" Index","mifid_Maturity_date")</f>
        <v>31/03/2025</v>
      </c>
      <c r="E96" cm="1">
        <f t="array" ref="E96">_xll.BDP($B96&amp;" Index","opt_days_expire")</f>
        <v>-309</v>
      </c>
      <c r="F96" t="str" cm="1">
        <f t="array" ref="F96">_xll.BDP(B96&amp;" Index","QUOTED_CURRENCY_REALTIME")</f>
        <v>#N/A Real Time</v>
      </c>
      <c r="G96" s="104" t="s">
        <v>247</v>
      </c>
      <c r="H96" s="95">
        <f>H95</f>
        <v>307</v>
      </c>
      <c r="I96" s="96" t="str">
        <f>IF(G96="Buy",L96,K96)</f>
        <v>#N/A Real Time</v>
      </c>
      <c r="J96" s="18" t="e">
        <f>I96/S96</f>
        <v>#VALUE!</v>
      </c>
      <c r="K96" s="35" t="str" cm="1">
        <f t="array" ref="K96">_xll.BDP($B96&amp;" Index","bid")</f>
        <v>#N/A Real Time</v>
      </c>
      <c r="L96" s="35" t="str" cm="1">
        <f t="array" ref="L96">_xll.BDP($B96&amp;" Index","ask")</f>
        <v>#N/A Real Time</v>
      </c>
      <c r="M96" s="39" t="e">
        <f>(L96/K96-1)</f>
        <v>#VALUE!</v>
      </c>
      <c r="N96" s="35" t="str">
        <f>_xll.BDP(F96&amp;" Curncy","PX_LAST")</f>
        <v>#N/A Real Time Curncy</v>
      </c>
      <c r="O96" s="164">
        <v>50</v>
      </c>
      <c r="P96" s="15" t="e">
        <f>IF(G96="Buy",((I96/N96)*H96*O96),((I96/N96)*-H96*O96))</f>
        <v>#VALUE!</v>
      </c>
      <c r="Q96" s="57" t="e">
        <f>P96/'Master P&amp;L'!$AD$5*10000</f>
        <v>#VALUE!</v>
      </c>
      <c r="R96" s="36" t="e" cm="1">
        <f t="array" ref="R96">_xll.BDP($C96&amp;" Index","EST_PE_NXT_YR")*(T96/S96)</f>
        <v>#VALUE!</v>
      </c>
      <c r="S96" s="35" t="str" cm="1">
        <f t="array" ref="S96">_xll.BDP(C96&amp;" Index","LAST_PRICE")</f>
        <v>#N/A Real Time</v>
      </c>
      <c r="T96" s="52" cm="1">
        <f t="array" ref="T96">_xll.BDP(B96&amp;" Index","OPT_STRIKE_PX")</f>
        <v>6250</v>
      </c>
      <c r="U96" s="39" t="e">
        <f>T96/S96-1</f>
        <v>#VALUE!</v>
      </c>
      <c r="V96" s="36" t="str" cm="1">
        <f t="array" ref="V96">_xll.BDP($B96&amp;" Index","ivol_mid")</f>
        <v>#N/A Field Not Applicable</v>
      </c>
      <c r="W96" s="37" t="str" cm="1">
        <f t="array" ref="W96">_xll.BDP(B96&amp;" Index","DELTA_MID_RT")</f>
        <v>#N/A Real Time</v>
      </c>
      <c r="X96" s="47" t="e">
        <f>Y96/'Master P&amp;L'!$AE$5</f>
        <v>#VALUE!</v>
      </c>
      <c r="Y96" s="15" t="e">
        <f>IF(G96="Sell", S96*W96*-H96*O96/N96, S96*W96*H96*O96/N96)</f>
        <v>#VALUE!</v>
      </c>
      <c r="Z96" s="15" t="e" cm="1">
        <f t="array" ref="Z96">_xll.BDP($B96&amp;" Index","opt_theta")*H96*O96/N96</f>
        <v>#VALUE!</v>
      </c>
      <c r="AA96" s="125" t="e" cm="1">
        <f t="array" ref="AA96">_xll.BDP($B96&amp;" Index","opt_theta")/I96</f>
        <v>#VALUE!</v>
      </c>
      <c r="AB96" s="35" t="str" cm="1">
        <f t="array" ref="AB96">_xll.BDP($C96&amp;" Index","EXPECTED_REPORT_DT")</f>
        <v>#N/A Field Not Applicable</v>
      </c>
      <c r="AC96" s="15" t="e">
        <f>S96*H96*O96/N96</f>
        <v>#VALUE!</v>
      </c>
      <c r="AD96" s="47" t="e">
        <f>AC96/'Master P&amp;L'!$AE$5</f>
        <v>#VALUE!</v>
      </c>
      <c r="AG96" t="str">
        <f>B96&amp;" -&gt; Buy to open "&amp;H96&amp;"x"</f>
        <v>SCH5C   6250 -&gt; Buy to open 307x</v>
      </c>
    </row>
    <row r="97" spans="1:38">
      <c r="H97" s="99" t="s">
        <v>116</v>
      </c>
      <c r="I97" s="101" t="e">
        <f>I95-I96</f>
        <v>#VALUE!</v>
      </c>
      <c r="J97" s="99" t="s">
        <v>249</v>
      </c>
      <c r="K97" s="100" t="e">
        <f>K96/L95</f>
        <v>#VALUE!</v>
      </c>
      <c r="O97" s="163"/>
      <c r="P97" s="99" t="s">
        <v>250</v>
      </c>
      <c r="Q97" s="107" t="e">
        <f>Q95+Q96</f>
        <v>#VALUE!</v>
      </c>
      <c r="S97" s="99" t="s">
        <v>251</v>
      </c>
      <c r="T97" s="101">
        <f>T96-T95</f>
        <v>100</v>
      </c>
      <c r="W97" s="99" t="s">
        <v>252</v>
      </c>
      <c r="X97" s="121" t="e">
        <f>X95+X96</f>
        <v>#VALUE!</v>
      </c>
      <c r="Y97" s="13" t="e">
        <f>Y95+Y96</f>
        <v>#VALUE!</v>
      </c>
      <c r="AC97" s="99" t="s">
        <v>229</v>
      </c>
      <c r="AD97" s="121" t="e">
        <f>AD95</f>
        <v>#VALUE!</v>
      </c>
    </row>
    <row r="98" spans="1:38">
      <c r="H98" s="99" t="s">
        <v>253</v>
      </c>
      <c r="I98" s="101" t="e">
        <f>(T97-I97)/I97</f>
        <v>#VALUE!</v>
      </c>
      <c r="J98" s="99" t="s">
        <v>145</v>
      </c>
      <c r="K98" s="108" t="e">
        <f>AVERAGE(K95:L95)-AVERAGE(K96:L96)</f>
        <v>#DIV/0!</v>
      </c>
      <c r="O98" s="163"/>
      <c r="P98" s="99"/>
      <c r="Q98" s="107"/>
      <c r="S98" s="99"/>
      <c r="T98" s="101"/>
      <c r="W98" s="99"/>
      <c r="X98" s="121"/>
      <c r="Y98" s="13" t="e">
        <f>Y97/S95/O95</f>
        <v>#VALUE!</v>
      </c>
      <c r="AC98" s="99"/>
      <c r="AD98" s="103"/>
    </row>
    <row r="99" spans="1:38">
      <c r="I99" s="63" t="e">
        <f>I100+I94</f>
        <v>#VALUE!</v>
      </c>
      <c r="K99" s="166" t="e">
        <f>K95-K96</f>
        <v>#VALUE!</v>
      </c>
      <c r="L99" s="166" t="e">
        <f>L95-L96</f>
        <v>#VALUE!</v>
      </c>
      <c r="O99" s="163"/>
    </row>
    <row r="100" spans="1:38">
      <c r="B100" s="160" t="s">
        <v>260</v>
      </c>
      <c r="D100" s="160" t="str">
        <f>D101</f>
        <v>31/03/2025</v>
      </c>
      <c r="H100" s="160">
        <v>1</v>
      </c>
      <c r="I100" s="63" t="e">
        <f>I102-I101</f>
        <v>#VALUE!</v>
      </c>
      <c r="O100" s="163"/>
      <c r="P100" s="13" t="e">
        <f>P101+P102</f>
        <v>#VALUE!</v>
      </c>
    </row>
    <row r="101" spans="1:38">
      <c r="A101" s="97" t="s">
        <v>246</v>
      </c>
      <c r="B101" s="72" t="s">
        <v>263</v>
      </c>
      <c r="C101" t="str" cm="1">
        <f t="array" ref="C101">_xll.BDP(B101&amp;" Index","OPT_UNDL_TICKER")</f>
        <v>SCM5</v>
      </c>
      <c r="D101" t="str" cm="1">
        <f t="array" ref="D101">_xll.BDP($B101&amp;" Index","mifid_Maturity_date")</f>
        <v>31/03/2025</v>
      </c>
      <c r="E101" cm="1">
        <f t="array" ref="E101">_xll.BDP($B101&amp;" Index","opt_days_expire")</f>
        <v>-309</v>
      </c>
      <c r="F101" t="s">
        <v>194</v>
      </c>
      <c r="G101" s="104" t="s">
        <v>247</v>
      </c>
      <c r="H101" s="95">
        <v>300</v>
      </c>
      <c r="I101" s="96" t="str">
        <f>IF(G101="Buy",L101,K101)</f>
        <v>#N/A Real Time</v>
      </c>
      <c r="J101" s="18" t="e">
        <f>I101/S101</f>
        <v>#VALUE!</v>
      </c>
      <c r="K101" s="35" t="str" cm="1">
        <f t="array" ref="K101">_xll.BDP($B101&amp;" Index","bid")</f>
        <v>#N/A Real Time</v>
      </c>
      <c r="L101" s="35" t="str" cm="1">
        <f t="array" ref="L101">_xll.BDP($B101&amp;" Index","ask")</f>
        <v>#N/A Real Time</v>
      </c>
      <c r="M101" s="39" t="e">
        <f>(L101/K101-1)</f>
        <v>#VALUE!</v>
      </c>
      <c r="N101" s="35" cm="1">
        <f t="array" ref="N101">_xll.BDP(F101&amp;" Curncy","PX_LAST")</f>
        <v>1</v>
      </c>
      <c r="O101" s="164">
        <v>50</v>
      </c>
      <c r="P101" s="15" t="e">
        <f>IF(G101="Buy",((I101/N101)*H101*O101),((I101/N101)*-H101*O101))</f>
        <v>#VALUE!</v>
      </c>
      <c r="Q101" s="57" t="e">
        <f>P101/'Master P&amp;L'!$AD$5*10000</f>
        <v>#VALUE!</v>
      </c>
      <c r="R101" s="36" t="e" cm="1">
        <f t="array" ref="R101">_xll.BDP($C101&amp;" Index","EST_PE_NXT_YR")*(T101/S101)</f>
        <v>#VALUE!</v>
      </c>
      <c r="S101" s="35" t="str" cm="1">
        <f t="array" ref="S101">_xll.BDP(C101&amp;" Index","LAST_PRICE")</f>
        <v>#N/A Real Time</v>
      </c>
      <c r="T101" s="52" cm="1">
        <f t="array" ref="T101">_xll.BDP(B101&amp;" Index","OPT_STRIKE_PX")</f>
        <v>6200</v>
      </c>
      <c r="U101" s="39" t="e">
        <f>T101/S101-1</f>
        <v>#VALUE!</v>
      </c>
      <c r="V101" s="36" t="str" cm="1">
        <f t="array" ref="V101">_xll.BDP($B101&amp;" Index","ivol_mid")</f>
        <v>#N/A Field Not Applicable</v>
      </c>
      <c r="W101" s="37" t="str" cm="1">
        <f t="array" ref="W101">_xll.BDP(B101&amp;" Index","DELTA_MID_RT")</f>
        <v>#N/A Real Time</v>
      </c>
      <c r="X101" s="47" t="e">
        <f>Y101/'Master P&amp;L'!$AE$5</f>
        <v>#VALUE!</v>
      </c>
      <c r="Y101" s="15" t="e">
        <f>IF(G101="Sell", S101*W101*-H101*O101/N101, S101*W101*H101*O101/N101)</f>
        <v>#VALUE!</v>
      </c>
      <c r="Z101" s="15" t="e" cm="1">
        <f t="array" ref="Z101">_xll.BDP($B101&amp;" Index","opt_theta")*H101*O101/N101</f>
        <v>#VALUE!</v>
      </c>
      <c r="AA101" s="125" t="e" cm="1">
        <f t="array" ref="AA101">_xll.BDP($B101&amp;" Index","opt_theta")/I101</f>
        <v>#VALUE!</v>
      </c>
      <c r="AB101" s="35" t="str" cm="1">
        <f t="array" ref="AB101">_xll.BDP($C101&amp;" Index","EXPECTED_REPORT_DT")</f>
        <v>#N/A Field Not Applicable</v>
      </c>
      <c r="AC101" s="15" t="e">
        <f>S101*H101*O101/N101</f>
        <v>#VALUE!</v>
      </c>
      <c r="AD101" s="47" t="e">
        <f>AC101/'Master P&amp;L'!$AE$5</f>
        <v>#VALUE!</v>
      </c>
      <c r="AG101" t="str">
        <f>B101&amp;" -&gt; Buy to open "&amp;H101&amp;"x"</f>
        <v>SCH5C   6200 -&gt; Buy to open 300x</v>
      </c>
    </row>
    <row r="102" spans="1:38">
      <c r="A102" s="97" t="s">
        <v>254</v>
      </c>
      <c r="B102" t="s">
        <v>264</v>
      </c>
      <c r="C102" t="str" cm="1">
        <f t="array" ref="C102">_xll.BDP(B102&amp;" Index","OPT_UNDL_TICKER")</f>
        <v>SCM5</v>
      </c>
      <c r="D102" t="str" cm="1">
        <f t="array" ref="D102">_xll.BDP($B102&amp;" Index","mifid_Maturity_date")</f>
        <v>31/03/2025</v>
      </c>
      <c r="E102" cm="1">
        <f t="array" ref="E102">_xll.BDP($B102&amp;" Index","opt_days_expire")</f>
        <v>-309</v>
      </c>
      <c r="F102" t="s">
        <v>194</v>
      </c>
      <c r="G102" s="104" t="s">
        <v>248</v>
      </c>
      <c r="H102" s="95">
        <f>H101</f>
        <v>300</v>
      </c>
      <c r="I102" s="96" t="str">
        <f>IF(G102="Buy",L102,K102)</f>
        <v>#N/A Real Time</v>
      </c>
      <c r="J102" s="18" t="e">
        <f>I102/S102</f>
        <v>#VALUE!</v>
      </c>
      <c r="K102" s="35" t="str" cm="1">
        <f t="array" ref="K102">_xll.BDP($B102&amp;" Index","bid")</f>
        <v>#N/A Real Time</v>
      </c>
      <c r="L102" s="35" t="str" cm="1">
        <f t="array" ref="L102">_xll.BDP($B102&amp;" Index","ask")</f>
        <v>#N/A Real Time</v>
      </c>
      <c r="M102" s="39" t="e">
        <f>(L102/K102-1)</f>
        <v>#VALUE!</v>
      </c>
      <c r="N102" s="35" cm="1">
        <f t="array" ref="N102">_xll.BDP(F102&amp;" Curncy","PX_LAST")</f>
        <v>1</v>
      </c>
      <c r="O102" s="164">
        <v>50</v>
      </c>
      <c r="P102" s="15" t="e">
        <f>IF(G102="Buy",((I102/N102)*H102*O102),((I102/N102)*-H102*O102))</f>
        <v>#VALUE!</v>
      </c>
      <c r="Q102" s="57" t="e">
        <f>P102/'Master P&amp;L'!$AD$5*10000</f>
        <v>#VALUE!</v>
      </c>
      <c r="R102" s="36" t="e" cm="1">
        <f t="array" ref="R102">_xll.BDP($C102&amp;" Index","EST_PE_NXT_YR")*(T102/S102)</f>
        <v>#VALUE!</v>
      </c>
      <c r="S102" s="35" t="str" cm="1">
        <f t="array" ref="S102">_xll.BDP(C102&amp;" Index","LAST_PRICE")</f>
        <v>#N/A Real Time</v>
      </c>
      <c r="T102" s="52" cm="1">
        <f t="array" ref="T102">_xll.BDP(B102&amp;" Index","OPT_STRIKE_PX")</f>
        <v>6300</v>
      </c>
      <c r="U102" s="39" t="e">
        <f>T102/S102-1</f>
        <v>#VALUE!</v>
      </c>
      <c r="V102" s="36" t="str" cm="1">
        <f t="array" ref="V102">_xll.BDP($B102&amp;" Index","ivol_mid")</f>
        <v>#N/A Field Not Applicable</v>
      </c>
      <c r="W102" s="37" t="str" cm="1">
        <f t="array" ref="W102">_xll.BDP(B102&amp;" Index","DELTA_MID_RT")</f>
        <v>#N/A Real Time</v>
      </c>
      <c r="X102" s="47" t="e">
        <f>Y102/'Master P&amp;L'!$AE$5</f>
        <v>#VALUE!</v>
      </c>
      <c r="Y102" s="15" t="e">
        <f>IF(G102="Sell", S102*W102*-H102*O102/N102, S102*W102*H102*O102/N102)</f>
        <v>#VALUE!</v>
      </c>
      <c r="Z102" s="15" t="e" cm="1">
        <f t="array" ref="Z102">_xll.BDP($B102&amp;" Index","opt_theta")*H102*O102/N102</f>
        <v>#VALUE!</v>
      </c>
      <c r="AA102" s="125" t="e" cm="1">
        <f t="array" ref="AA102">_xll.BDP($B102&amp;" Index","opt_theta")/I102</f>
        <v>#VALUE!</v>
      </c>
      <c r="AB102" s="35" t="str" cm="1">
        <f t="array" ref="AB102">_xll.BDP($C102&amp;" Index","EXPECTED_REPORT_DT")</f>
        <v>#N/A Field Not Applicable</v>
      </c>
      <c r="AC102" s="15" t="e">
        <f>S102*H102*O102/N102</f>
        <v>#VALUE!</v>
      </c>
      <c r="AD102" s="47" t="e">
        <f>AC102/'Master P&amp;L'!$AE$5</f>
        <v>#VALUE!</v>
      </c>
      <c r="AG102" t="str">
        <f>B102&amp;" -&gt; Buy to open "&amp;H102&amp;"x"</f>
        <v>SCH5C   6300 -&gt; Buy to open 300x</v>
      </c>
    </row>
    <row r="103" spans="1:38">
      <c r="H103" s="99" t="s">
        <v>116</v>
      </c>
      <c r="I103" s="101" t="e">
        <f>I101-I102</f>
        <v>#VALUE!</v>
      </c>
      <c r="J103" s="99" t="s">
        <v>249</v>
      </c>
      <c r="K103" s="100" t="e">
        <f>K102/L101</f>
        <v>#VALUE!</v>
      </c>
      <c r="P103" s="99" t="s">
        <v>250</v>
      </c>
      <c r="Q103" s="107" t="e">
        <f>Q101+Q102</f>
        <v>#VALUE!</v>
      </c>
      <c r="S103" s="99" t="s">
        <v>251</v>
      </c>
      <c r="T103" s="101">
        <f>T102-T101</f>
        <v>100</v>
      </c>
      <c r="W103" s="99" t="s">
        <v>252</v>
      </c>
      <c r="X103" s="121" t="e">
        <f>X101+X102</f>
        <v>#VALUE!</v>
      </c>
      <c r="Y103" s="13" t="e">
        <f>Y101+Y102</f>
        <v>#VALUE!</v>
      </c>
      <c r="AC103" s="99" t="s">
        <v>229</v>
      </c>
      <c r="AD103" s="121" t="e">
        <f>AD101</f>
        <v>#VALUE!</v>
      </c>
    </row>
    <row r="104" spans="1:38">
      <c r="H104" s="99" t="s">
        <v>253</v>
      </c>
      <c r="I104" s="101" t="e">
        <f>(T103-I103)/I103</f>
        <v>#VALUE!</v>
      </c>
      <c r="J104" s="99" t="s">
        <v>145</v>
      </c>
      <c r="K104" s="108" t="e">
        <f>AVERAGE(K101:L101)-AVERAGE(K102:L102)</f>
        <v>#DIV/0!</v>
      </c>
      <c r="P104" s="99"/>
      <c r="Q104" s="107"/>
      <c r="S104" s="99"/>
      <c r="T104" s="101"/>
      <c r="W104" s="99"/>
      <c r="X104" s="121"/>
      <c r="Y104" s="13" t="e">
        <f>Y103/S101/O101</f>
        <v>#VALUE!</v>
      </c>
      <c r="AC104" s="99"/>
      <c r="AD104" s="103"/>
    </row>
    <row r="105" spans="1:38">
      <c r="K105" s="166" t="e">
        <f>K101-K102</f>
        <v>#VALUE!</v>
      </c>
      <c r="L105" s="166" t="e">
        <f>L101-L102</f>
        <v>#VALUE!</v>
      </c>
      <c r="X105"/>
      <c r="AL105"/>
    </row>
    <row r="106" spans="1:38">
      <c r="K106" s="63" t="e">
        <f>K99-K105</f>
        <v>#VALUE!</v>
      </c>
      <c r="L106" s="63" t="e">
        <f>L99-L105</f>
        <v>#VALUE!</v>
      </c>
      <c r="X106"/>
      <c r="AL106"/>
    </row>
    <row r="107" spans="1:38">
      <c r="B107" s="165" t="s">
        <v>265</v>
      </c>
      <c r="D107" s="165" t="str">
        <f>D108</f>
        <v>22/11/2024</v>
      </c>
      <c r="H107" s="165">
        <v>1</v>
      </c>
    </row>
    <row r="108" spans="1:38">
      <c r="A108" s="97" t="s">
        <v>246</v>
      </c>
      <c r="B108" t="s">
        <v>266</v>
      </c>
      <c r="C108" t="str" cm="1">
        <f t="array" ref="C108">_xll.BDP(B108&amp;" Index","OPT_UNDL_TICKER")</f>
        <v>4OZ24</v>
      </c>
      <c r="D108" t="str" cm="1">
        <f t="array" ref="D108">_xll.BDP($B108&amp;" Index","mifid_Maturity_date")</f>
        <v>22/11/2024</v>
      </c>
      <c r="E108" cm="1">
        <f t="array" ref="E108">_xll.BDP($B108&amp;" Index","opt_days_expire")</f>
        <v>-438</v>
      </c>
      <c r="F108" t="str" cm="1">
        <f t="array" ref="F108">_xll.BDP(B108&amp;" Index","QUOTED_CURRENCY_REALTIME")</f>
        <v>#N/A Real Time</v>
      </c>
      <c r="G108" s="104" t="s">
        <v>247</v>
      </c>
      <c r="H108" s="95">
        <v>36</v>
      </c>
      <c r="I108" s="96" t="str">
        <f>IF(G108="Buy",L108,K108)</f>
        <v>#N/A Real Time</v>
      </c>
      <c r="J108" s="18" t="e">
        <f>I108/S108</f>
        <v>#VALUE!</v>
      </c>
      <c r="K108" s="35" t="str" cm="1">
        <f t="array" ref="K108">_xll.BDP($B108&amp;" Index","bid")</f>
        <v>#N/A Real Time</v>
      </c>
      <c r="L108" s="35" t="str" cm="1">
        <f t="array" ref="L108">_xll.BDP($B108&amp;" Index","ask")</f>
        <v>#N/A Real Time</v>
      </c>
      <c r="M108" s="39" t="e">
        <f>(L108/K108-1)</f>
        <v>#VALUE!</v>
      </c>
      <c r="N108" s="35" t="str">
        <f>_xll.BDP(F108&amp;" Curncy","PX_LAST")</f>
        <v>#N/A Real Time Curncy</v>
      </c>
      <c r="O108" s="164">
        <v>20</v>
      </c>
      <c r="P108" s="15" t="e">
        <f>IF(G108="Buy",((I108/N108)*H108*O108),((I108/N108)*-H108*O108))</f>
        <v>#VALUE!</v>
      </c>
      <c r="Q108" s="57" t="e">
        <f>P108/'Master P&amp;L'!$AD$5*10000</f>
        <v>#VALUE!</v>
      </c>
      <c r="R108" s="36" t="e" cm="1">
        <f t="array" ref="R108">_xll.BDP($C108&amp;" Index","EST_PE_NXT_YR")*(T108/S108)</f>
        <v>#VALUE!</v>
      </c>
      <c r="S108" s="35" t="str" cm="1">
        <f t="array" ref="S108">_xll.BDP(C108&amp;" Index","LAST_PRICE")</f>
        <v>#N/A Real Time</v>
      </c>
      <c r="T108" s="52" cm="1">
        <f t="array" ref="T108">_xll.BDP(B108&amp;" Index","OPT_STRIKE_PX")</f>
        <v>20500</v>
      </c>
      <c r="U108" s="39" t="e">
        <f>T108/S108-1</f>
        <v>#VALUE!</v>
      </c>
      <c r="V108" s="36" t="str" cm="1">
        <f t="array" ref="V108">_xll.BDP($B108&amp;" Index","ivol_mid")</f>
        <v>#N/A Field Not Applicable</v>
      </c>
      <c r="W108" s="37" t="str" cm="1">
        <f t="array" ref="W108">_xll.BDP(B108&amp;" Index","DELTA_MID_RT")</f>
        <v>#N/A Real Time</v>
      </c>
      <c r="X108" s="47" t="e">
        <f>Y108/'Master P&amp;L'!$AE$5</f>
        <v>#VALUE!</v>
      </c>
      <c r="Y108" s="15" t="e">
        <f>IF(G108="Sell", S108*W108*-H108*O108/N108, S108*W108*H108*O108/N108)</f>
        <v>#VALUE!</v>
      </c>
      <c r="Z108" s="15" t="e" cm="1">
        <f t="array" ref="Z108">_xll.BDP($B108&amp;" Index","opt_theta")*H108*O108/N108</f>
        <v>#VALUE!</v>
      </c>
      <c r="AA108" s="125" t="e" cm="1">
        <f t="array" ref="AA108">_xll.BDP($B108&amp;" Index","opt_theta")/I108</f>
        <v>#VALUE!</v>
      </c>
      <c r="AB108" s="35" t="str" cm="1">
        <f t="array" ref="AB108">_xll.BDP($C108&amp;" Index","EXPECTED_REPORT_DT")</f>
        <v>#N/A Field Not Applicable</v>
      </c>
      <c r="AC108" s="15" t="e">
        <f>S108*H108*O108/N108</f>
        <v>#VALUE!</v>
      </c>
      <c r="AD108" s="47" t="e">
        <f>AC108/'Master P&amp;L'!$AE$5</f>
        <v>#VALUE!</v>
      </c>
      <c r="AG108" t="str">
        <f>B108&amp;" -&gt; Buy to open "&amp;H108&amp;"x"</f>
        <v>4OX4C    20500 -&gt; Buy to open 36x</v>
      </c>
    </row>
    <row r="109" spans="1:38">
      <c r="A109" s="97" t="s">
        <v>254</v>
      </c>
      <c r="B109" t="s">
        <v>267</v>
      </c>
      <c r="C109" t="str" cm="1">
        <f t="array" ref="C109">_xll.BDP(B109&amp;" Index","OPT_UNDL_TICKER")</f>
        <v>3OH5</v>
      </c>
      <c r="D109" t="str" cm="1">
        <f t="array" ref="D109">_xll.BDP($B109&amp;" Index","mifid_Maturity_date")</f>
        <v>17/01/2025</v>
      </c>
      <c r="E109" cm="1">
        <f t="array" ref="E109">_xll.BDP($B109&amp;" Index","opt_days_expire")</f>
        <v>-382</v>
      </c>
      <c r="F109" t="str" cm="1">
        <f t="array" ref="F109">_xll.BDP(B109&amp;" Index","QUOTED_CURRENCY_REALTIME")</f>
        <v>#N/A Real Time</v>
      </c>
      <c r="G109" s="104" t="s">
        <v>248</v>
      </c>
      <c r="H109" s="95">
        <f>H108/2</f>
        <v>18</v>
      </c>
      <c r="I109" s="96" t="str">
        <f>IF(G109="Buy",L109,K109)</f>
        <v>#N/A Real Time</v>
      </c>
      <c r="J109" s="18" t="e">
        <f>I109/S109</f>
        <v>#VALUE!</v>
      </c>
      <c r="K109" s="35" t="str" cm="1">
        <f t="array" ref="K109">_xll.BDP($B109&amp;" Index","bid")</f>
        <v>#N/A Real Time</v>
      </c>
      <c r="L109" s="35" t="str" cm="1">
        <f t="array" ref="L109">_xll.BDP($B109&amp;" Index","ask")</f>
        <v>#N/A Real Time</v>
      </c>
      <c r="M109" s="39" t="e">
        <f>(L109/K109-1)</f>
        <v>#VALUE!</v>
      </c>
      <c r="N109" s="35" t="str">
        <f>_xll.BDP(F109&amp;" Curncy","PX_LAST")</f>
        <v>#N/A Real Time Curncy</v>
      </c>
      <c r="O109" s="164">
        <v>20</v>
      </c>
      <c r="P109" s="15" t="e">
        <f>IF(G109="Buy",((I109/N109)*H109*O109),((I109/N109)*-H109*O109))</f>
        <v>#VALUE!</v>
      </c>
      <c r="Q109" s="57" t="e">
        <f>P109/'Master P&amp;L'!$AD$5*10000</f>
        <v>#VALUE!</v>
      </c>
      <c r="R109" s="36" t="e" cm="1">
        <f t="array" ref="R109">_xll.BDP($C109&amp;" Index","EST_PE_NXT_YR")*(T109/S109)</f>
        <v>#VALUE!</v>
      </c>
      <c r="S109" s="35" t="str" cm="1">
        <f t="array" ref="S109">_xll.BDP(C109&amp;" Index","LAST_PRICE")</f>
        <v>#N/A Real Time</v>
      </c>
      <c r="T109" s="52" cm="1">
        <f t="array" ref="T109">_xll.BDP(B109&amp;" Index","OPT_STRIKE_PX")</f>
        <v>22500</v>
      </c>
      <c r="U109" s="39" t="e">
        <f>T109/S109-1</f>
        <v>#VALUE!</v>
      </c>
      <c r="V109" s="36" t="str" cm="1">
        <f t="array" ref="V109">_xll.BDP($B109&amp;" Index","ivol_mid")</f>
        <v>#N/A Field Not Applicable</v>
      </c>
      <c r="W109" s="37" t="str" cm="1">
        <f t="array" ref="W109">_xll.BDP(B109&amp;" Index","DELTA_MID_RT")</f>
        <v>#N/A Real Time</v>
      </c>
      <c r="X109" s="47" t="e">
        <f>Y109/'Master P&amp;L'!$AE$5</f>
        <v>#VALUE!</v>
      </c>
      <c r="Y109" s="15" t="e">
        <f>IF(G109="Sell", S109*W109*-H109*O109/N109, S109*W109*H109*O109/N109)</f>
        <v>#VALUE!</v>
      </c>
      <c r="Z109" s="15" t="e" cm="1">
        <f t="array" ref="Z109">_xll.BDP($B109&amp;" Index","opt_theta")*H109*O109/N109</f>
        <v>#VALUE!</v>
      </c>
      <c r="AA109" s="125" t="e" cm="1">
        <f t="array" ref="AA109">_xll.BDP($B109&amp;" Index","opt_theta")/I109</f>
        <v>#VALUE!</v>
      </c>
      <c r="AB109" s="35" t="str" cm="1">
        <f t="array" ref="AB109">_xll.BDP($C109&amp;" Index","EXPECTED_REPORT_DT")</f>
        <v>#N/A Field Not Applicable</v>
      </c>
      <c r="AC109" s="15" t="e">
        <f>S109*H109*O109/N109</f>
        <v>#VALUE!</v>
      </c>
      <c r="AD109" s="47" t="e">
        <f>AC109/'Master P&amp;L'!$AE$5</f>
        <v>#VALUE!</v>
      </c>
      <c r="AG109" t="str">
        <f>B109&amp;" -&gt; Buy to open "&amp;H109&amp;"x"</f>
        <v>3OF5C    22500 -&gt; Buy to open 18x</v>
      </c>
    </row>
    <row r="110" spans="1:38">
      <c r="H110" s="99" t="s">
        <v>116</v>
      </c>
      <c r="I110" s="101" t="e">
        <f>I108-I109</f>
        <v>#VALUE!</v>
      </c>
      <c r="J110" s="99" t="s">
        <v>249</v>
      </c>
      <c r="K110" s="100" t="e">
        <f>K109/L108</f>
        <v>#VALUE!</v>
      </c>
      <c r="P110" s="99" t="s">
        <v>250</v>
      </c>
      <c r="Q110" s="107" t="e">
        <f>Q108+Q109</f>
        <v>#VALUE!</v>
      </c>
      <c r="S110" s="99" t="s">
        <v>251</v>
      </c>
      <c r="T110" s="101">
        <f>T109-T108</f>
        <v>2000</v>
      </c>
      <c r="W110" s="99" t="s">
        <v>252</v>
      </c>
      <c r="X110" s="121" t="e">
        <f>X108+X109</f>
        <v>#VALUE!</v>
      </c>
      <c r="Y110" s="13" t="e">
        <f>Y108+Y109</f>
        <v>#VALUE!</v>
      </c>
      <c r="AC110" s="99" t="s">
        <v>229</v>
      </c>
      <c r="AD110" s="121" t="e">
        <f>AD108</f>
        <v>#VALUE!</v>
      </c>
    </row>
    <row r="111" spans="1:38">
      <c r="H111" s="99" t="s">
        <v>253</v>
      </c>
      <c r="I111" s="101" t="e">
        <f>(T110-I110)/I110</f>
        <v>#VALUE!</v>
      </c>
      <c r="J111" s="99" t="s">
        <v>145</v>
      </c>
      <c r="K111" s="108" t="e">
        <f>AVERAGE(K108:L108)-AVERAGE(K109:L109)</f>
        <v>#DIV/0!</v>
      </c>
      <c r="P111" s="99"/>
      <c r="Q111" s="107"/>
      <c r="S111" s="99"/>
      <c r="T111" s="101"/>
      <c r="W111" s="99"/>
      <c r="X111" s="121"/>
      <c r="Y111" s="13" t="e">
        <f>Y110/S108</f>
        <v>#VALUE!</v>
      </c>
      <c r="AC111" s="99"/>
      <c r="AD111" s="103"/>
    </row>
    <row r="114" spans="1:33">
      <c r="B114" s="165" t="s">
        <v>265</v>
      </c>
      <c r="D114" s="165" t="str">
        <f>D115</f>
        <v>23/05/2025</v>
      </c>
      <c r="H114" s="165">
        <v>1</v>
      </c>
    </row>
    <row r="115" spans="1:33">
      <c r="A115" s="97" t="s">
        <v>246</v>
      </c>
      <c r="B115" t="s">
        <v>1674</v>
      </c>
      <c r="C115" t="str" cm="1">
        <f t="array" ref="C115">_xll.BDP(B115&amp;" Index","OPT_UNDL_TICKER")</f>
        <v>4OM5</v>
      </c>
      <c r="D115" t="str" cm="1">
        <f t="array" ref="D115">_xll.BDP($B115&amp;" Index","mifid_Maturity_date")</f>
        <v>23/05/2025</v>
      </c>
      <c r="E115" cm="1">
        <f t="array" ref="E115">_xll.BDP($B115&amp;" Index","opt_days_expire")</f>
        <v>-256</v>
      </c>
      <c r="F115" t="str" cm="1">
        <f t="array" ref="F115">_xll.BDP(B115&amp;" Index","QUOTED_CURRENCY_REALTIME")</f>
        <v>#N/A Real Time</v>
      </c>
      <c r="G115" s="104" t="s">
        <v>247</v>
      </c>
      <c r="H115" s="95">
        <v>50</v>
      </c>
      <c r="I115" s="96" t="str">
        <f>IF(G115="Buy",L115,K115)</f>
        <v>#N/A Real Time</v>
      </c>
      <c r="J115" s="18" t="e">
        <f>I115/S115</f>
        <v>#VALUE!</v>
      </c>
      <c r="K115" s="35" t="str" cm="1">
        <f t="array" ref="K115">_xll.BDP($B115&amp;" Index","bid")</f>
        <v>#N/A Real Time</v>
      </c>
      <c r="L115" s="35" t="str" cm="1">
        <f t="array" ref="L115">_xll.BDP($B115&amp;" Index","ask")</f>
        <v>#N/A Real Time</v>
      </c>
      <c r="M115" s="39" t="e">
        <f>(L115/K115-1)</f>
        <v>#VALUE!</v>
      </c>
      <c r="N115" s="35" t="str">
        <f>_xll.BDP(F115&amp;" Curncy","PX_LAST")</f>
        <v>#N/A Real Time Curncy</v>
      </c>
      <c r="O115" s="164">
        <v>20</v>
      </c>
      <c r="P115" s="15" t="e">
        <f>IF(G115="Buy",((I115/N115)*H115*O115),((I115/N115)*-H115*O115))</f>
        <v>#VALUE!</v>
      </c>
      <c r="Q115" s="57" t="e">
        <f>P115/'Master P&amp;L'!$AD$5*10000</f>
        <v>#VALUE!</v>
      </c>
      <c r="R115" s="36" t="e" cm="1">
        <f t="array" ref="R115">_xll.BDP($C115&amp;" Index","EST_PE_NXT_YR")*(T115/S115)</f>
        <v>#VALUE!</v>
      </c>
      <c r="S115" s="35" t="str" cm="1">
        <f t="array" ref="S115">_xll.BDP(C115&amp;" Index","LAST_PRICE")</f>
        <v>#N/A Real Time</v>
      </c>
      <c r="T115" s="52" cm="1">
        <f t="array" ref="T115">_xll.BDP(B115&amp;" Index","OPT_STRIKE_PX")</f>
        <v>21300</v>
      </c>
      <c r="U115" s="39" t="e">
        <f>T115/S115-1</f>
        <v>#VALUE!</v>
      </c>
      <c r="V115" s="36" t="str" cm="1">
        <f t="array" ref="V115">_xll.BDP($B115&amp;" Index","ivol_mid")</f>
        <v>#N/A Field Not Applicable</v>
      </c>
      <c r="W115" s="37" t="str" cm="1">
        <f t="array" ref="W115">_xll.BDP(B115&amp;" Index","DELTA_MID_RT")</f>
        <v>#N/A Real Time</v>
      </c>
      <c r="X115" s="47" t="e">
        <f>Y115/'Master P&amp;L'!$AE$5</f>
        <v>#VALUE!</v>
      </c>
      <c r="Y115" s="15" t="e">
        <f>IF(G115="Sell", S115*W115*-H115*O115/N115, S115*W115*H115*O115/N115)</f>
        <v>#VALUE!</v>
      </c>
      <c r="Z115" s="15" t="e" cm="1">
        <f t="array" ref="Z115">_xll.BDP($B115&amp;" Index","opt_theta")*H115*O115/N115</f>
        <v>#VALUE!</v>
      </c>
      <c r="AA115" s="125" t="e" cm="1">
        <f t="array" ref="AA115">_xll.BDP($B115&amp;" Index","opt_theta")/I115</f>
        <v>#VALUE!</v>
      </c>
      <c r="AB115" s="35" t="str" cm="1">
        <f t="array" ref="AB115">_xll.BDP($C115&amp;" Index","EXPECTED_REPORT_DT")</f>
        <v>#N/A Field Not Applicable</v>
      </c>
      <c r="AC115" s="15" t="e">
        <f>S115*H115*O115/N115</f>
        <v>#VALUE!</v>
      </c>
      <c r="AD115" s="47" t="e">
        <f>AC115/'Master P&amp;L'!$AE$5</f>
        <v>#VALUE!</v>
      </c>
      <c r="AG115" t="str">
        <f>B115&amp;" -&gt; Buy to open "&amp;H115&amp;"x"</f>
        <v>4OK5C 21300 -&gt; Buy to open 50x</v>
      </c>
    </row>
    <row r="116" spans="1:33">
      <c r="A116" s="97" t="s">
        <v>254</v>
      </c>
      <c r="B116" t="s">
        <v>1673</v>
      </c>
      <c r="C116" t="str" cm="1">
        <f t="array" ref="C116">_xll.BDP(B116&amp;" Index","OPT_UNDL_TICKER")</f>
        <v>4OM5</v>
      </c>
      <c r="D116" t="str" cm="1">
        <f t="array" ref="D116">_xll.BDP($B116&amp;" Index","mifid_Maturity_date")</f>
        <v>23/05/2025</v>
      </c>
      <c r="E116" cm="1">
        <f t="array" ref="E116">_xll.BDP($B116&amp;" Index","opt_days_expire")</f>
        <v>-256</v>
      </c>
      <c r="F116" t="str" cm="1">
        <f t="array" ref="F116">_xll.BDP(B116&amp;" Index","QUOTED_CURRENCY_REALTIME")</f>
        <v>#N/A Real Time</v>
      </c>
      <c r="G116" s="104" t="s">
        <v>248</v>
      </c>
      <c r="H116" s="95">
        <f>H115/H114</f>
        <v>50</v>
      </c>
      <c r="I116" s="96" t="str">
        <f>IF(G116="Buy",L116,K116)</f>
        <v>#N/A Real Time</v>
      </c>
      <c r="J116" s="18" t="e">
        <f>I116/S116</f>
        <v>#VALUE!</v>
      </c>
      <c r="K116" s="35" t="str" cm="1">
        <f t="array" ref="K116">_xll.BDP($B116&amp;" Index","bid")</f>
        <v>#N/A Real Time</v>
      </c>
      <c r="L116" s="35" t="str" cm="1">
        <f t="array" ref="L116">_xll.BDP($B116&amp;" Index","ask")</f>
        <v>#N/A Real Time</v>
      </c>
      <c r="M116" s="39" t="e">
        <f>(L116/K116-1)</f>
        <v>#VALUE!</v>
      </c>
      <c r="N116" s="35" t="str">
        <f>_xll.BDP(F116&amp;" Curncy","PX_LAST")</f>
        <v>#N/A Real Time Curncy</v>
      </c>
      <c r="O116" s="164">
        <v>20</v>
      </c>
      <c r="P116" s="15" t="e">
        <f>IF(G116="Buy",((I116/N116)*H116*O116),((I116/N116)*-H116*O116))</f>
        <v>#VALUE!</v>
      </c>
      <c r="Q116" s="57" t="e">
        <f>P116/'Master P&amp;L'!$AD$5*10000</f>
        <v>#VALUE!</v>
      </c>
      <c r="R116" s="36" t="e" cm="1">
        <f t="array" ref="R116">_xll.BDP($C116&amp;" Index","EST_PE_NXT_YR")*(T116/S116)</f>
        <v>#VALUE!</v>
      </c>
      <c r="S116" s="35" t="str" cm="1">
        <f t="array" ref="S116">_xll.BDP(C116&amp;" Index","LAST_PRICE")</f>
        <v>#N/A Real Time</v>
      </c>
      <c r="T116" s="52" cm="1">
        <f t="array" ref="T116">_xll.BDP(B116&amp;" Index","OPT_STRIKE_PX")</f>
        <v>21650</v>
      </c>
      <c r="U116" s="39" t="e">
        <f>T116/S116-1</f>
        <v>#VALUE!</v>
      </c>
      <c r="V116" s="36" t="str" cm="1">
        <f t="array" ref="V116">_xll.BDP($B116&amp;" Index","ivol_mid")</f>
        <v>#N/A Field Not Applicable</v>
      </c>
      <c r="W116" s="37" t="str" cm="1">
        <f t="array" ref="W116">_xll.BDP(B116&amp;" Index","DELTA_MID_RT")</f>
        <v>#N/A Real Time</v>
      </c>
      <c r="X116" s="47" t="e">
        <f>Y116/'Master P&amp;L'!$AE$5</f>
        <v>#VALUE!</v>
      </c>
      <c r="Y116" s="15" t="e">
        <f>IF(G116="Sell", S116*W116*-H116*O116/N116, S116*W116*H116*O116/N116)</f>
        <v>#VALUE!</v>
      </c>
      <c r="Z116" s="15" t="e" cm="1">
        <f t="array" ref="Z116">_xll.BDP($B116&amp;" Index","opt_theta")*H116*O116/N116</f>
        <v>#VALUE!</v>
      </c>
      <c r="AA116" s="125" t="e" cm="1">
        <f t="array" ref="AA116">_xll.BDP($B116&amp;" Index","opt_theta")/I116</f>
        <v>#VALUE!</v>
      </c>
      <c r="AB116" s="35" t="str" cm="1">
        <f t="array" ref="AB116">_xll.BDP($C116&amp;" Index","EXPECTED_REPORT_DT")</f>
        <v>#N/A Field Not Applicable</v>
      </c>
      <c r="AC116" s="15" t="e">
        <f>S116*H116*O116/N116</f>
        <v>#VALUE!</v>
      </c>
      <c r="AD116" s="47" t="e">
        <f>AC116/'Master P&amp;L'!$AE$5</f>
        <v>#VALUE!</v>
      </c>
      <c r="AG116" t="str">
        <f>B116&amp;" -&gt; Buy to open "&amp;H116&amp;"x"</f>
        <v>4OK5C 21650 -&gt; Buy to open 50x</v>
      </c>
    </row>
    <row r="117" spans="1:33">
      <c r="H117" s="99" t="s">
        <v>116</v>
      </c>
      <c r="I117" s="101" t="e">
        <f>I115-I116</f>
        <v>#VALUE!</v>
      </c>
      <c r="J117" s="99" t="s">
        <v>249</v>
      </c>
      <c r="K117" s="100" t="e">
        <f>K116/L115</f>
        <v>#VALUE!</v>
      </c>
      <c r="P117" s="99" t="s">
        <v>250</v>
      </c>
      <c r="Q117" s="107" t="e">
        <f>Q115+Q116</f>
        <v>#VALUE!</v>
      </c>
      <c r="S117" s="99" t="s">
        <v>251</v>
      </c>
      <c r="T117" s="101">
        <f>T116-T115</f>
        <v>350</v>
      </c>
      <c r="W117" s="99" t="s">
        <v>252</v>
      </c>
      <c r="X117" s="121" t="e">
        <f>X115+X116</f>
        <v>#VALUE!</v>
      </c>
      <c r="Y117" s="13" t="e">
        <f>Y115+Y116</f>
        <v>#VALUE!</v>
      </c>
      <c r="AC117" s="99" t="s">
        <v>229</v>
      </c>
      <c r="AD117" s="121" t="e">
        <f>AD115</f>
        <v>#VALUE!</v>
      </c>
    </row>
    <row r="118" spans="1:33">
      <c r="H118" s="99" t="s">
        <v>253</v>
      </c>
      <c r="I118" s="101" t="e">
        <f>(T117-I117)/I117</f>
        <v>#VALUE!</v>
      </c>
      <c r="J118" s="99" t="s">
        <v>145</v>
      </c>
      <c r="K118" s="108" t="e">
        <f>AVERAGE(K115:L115)-AVERAGE(K116:L116)</f>
        <v>#DIV/0!</v>
      </c>
      <c r="P118" s="99"/>
      <c r="Q118" s="107"/>
      <c r="S118" s="99"/>
      <c r="T118" s="101"/>
      <c r="W118" s="99"/>
      <c r="X118" s="121"/>
      <c r="Y118" s="13" t="e">
        <f>Y117/S115</f>
        <v>#VALUE!</v>
      </c>
      <c r="AC118" s="99"/>
      <c r="AD118" s="103"/>
    </row>
    <row r="119" spans="1:33">
      <c r="I119">
        <f>150-52</f>
        <v>98</v>
      </c>
    </row>
    <row r="121" spans="1:33">
      <c r="B121" s="167" t="s">
        <v>268</v>
      </c>
      <c r="D121" s="167" t="str">
        <f>D122</f>
        <v>19/12/2024</v>
      </c>
      <c r="H121" s="167">
        <v>1</v>
      </c>
      <c r="O121" s="163"/>
      <c r="S121" s="63"/>
    </row>
    <row r="122" spans="1:33">
      <c r="A122" s="97" t="s">
        <v>246</v>
      </c>
      <c r="B122" s="131" t="s">
        <v>269</v>
      </c>
      <c r="C122" t="str" cm="1">
        <f t="array" ref="C122">_xll.BDP(B122&amp;" Index","OPT_UNDL_TICKER")</f>
        <v>RFSZ24</v>
      </c>
      <c r="D122" t="str" cm="1">
        <f t="array" ref="D122">_xll.BDP($B122&amp;" Index","mifid_Maturity_date")</f>
        <v>19/12/2024</v>
      </c>
      <c r="E122" cm="1">
        <f t="array" ref="E122">_xll.BDP($B122&amp;" Index","opt_days_expire")</f>
        <v>-411</v>
      </c>
      <c r="F122" t="str" cm="1">
        <f t="array" ref="F122">_xll.BDP(B122&amp;" Index","QUOTED_CURRENCY_REALTIME")</f>
        <v>#N/A Real Time</v>
      </c>
      <c r="G122" s="104" t="s">
        <v>247</v>
      </c>
      <c r="H122" s="95">
        <v>35</v>
      </c>
      <c r="I122" s="96" t="str">
        <f>IF(G122="Buy",L122,K122)</f>
        <v>#N/A Real Time</v>
      </c>
      <c r="J122" s="18" t="e">
        <f>I122/S122</f>
        <v>#VALUE!</v>
      </c>
      <c r="K122" s="35" t="str" cm="1">
        <f t="array" ref="K122">_xll.BDP($B122&amp;" Index","bid")</f>
        <v>#N/A Real Time</v>
      </c>
      <c r="L122" s="35" t="str" cm="1">
        <f t="array" ref="L122">_xll.BDP($B122&amp;" Index","ask")</f>
        <v>#N/A Real Time</v>
      </c>
      <c r="M122" s="39" t="e">
        <f>(L122/K122-1)</f>
        <v>#VALUE!</v>
      </c>
      <c r="N122" s="35" t="str">
        <f>_xll.BDP(F122&amp;" Curncy","PX_LAST")</f>
        <v>#N/A Real Time Curncy</v>
      </c>
      <c r="O122" s="164">
        <v>50</v>
      </c>
      <c r="P122" s="15" t="e">
        <f>IF(G122="Buy",((I122/N122)*H122*O122),((I122/N122)*-H122*O122))</f>
        <v>#VALUE!</v>
      </c>
      <c r="Q122" s="57" t="e">
        <f>P122/'Master P&amp;L'!$AD$5*10000</f>
        <v>#VALUE!</v>
      </c>
      <c r="R122" s="36" t="e" cm="1">
        <f t="array" ref="R122">_xll.BDP($C122&amp;" Index","EST_PE_NXT_YR")*(T122/S122)</f>
        <v>#VALUE!</v>
      </c>
      <c r="S122" s="35" t="str" cm="1">
        <f t="array" ref="S122">_xll.BDP(C122&amp;" Index","LAST_PRICE")</f>
        <v>#N/A Real Time</v>
      </c>
      <c r="T122" s="52" cm="1">
        <f t="array" ref="T122">_xll.BDP(B122&amp;" Index","OPT_STRIKE_PX")</f>
        <v>2360</v>
      </c>
      <c r="U122" s="39" t="e">
        <f>T122/S122-1</f>
        <v>#VALUE!</v>
      </c>
      <c r="V122" s="36" t="str" cm="1">
        <f t="array" ref="V122">_xll.BDP($B122&amp;" Index","ivol_mid")</f>
        <v>#N/A Field Not Applicable</v>
      </c>
      <c r="W122" s="37" t="str" cm="1">
        <f t="array" ref="W122">_xll.BDP(B122&amp;" Index","DELTA_MID_RT")</f>
        <v>#N/A Real Time</v>
      </c>
      <c r="X122" s="47" t="e">
        <f>Y122/'Master P&amp;L'!$AE$5</f>
        <v>#VALUE!</v>
      </c>
      <c r="Y122" s="15" t="e">
        <f>IF(G122="Sell", S122*W122*-H122*O122/N122, S122*W122*H122*O122/N122)</f>
        <v>#VALUE!</v>
      </c>
      <c r="Z122" s="15" t="e" cm="1">
        <f t="array" ref="Z122">_xll.BDP($B122&amp;" Index","opt_theta")*H122*O122/N122</f>
        <v>#VALUE!</v>
      </c>
      <c r="AA122" s="125" t="e" cm="1">
        <f t="array" ref="AA122">_xll.BDP($B122&amp;" Index","opt_theta")/I122</f>
        <v>#VALUE!</v>
      </c>
      <c r="AB122" s="35" t="str" cm="1">
        <f t="array" ref="AB122">_xll.BDP($C122&amp;" Index","EXPECTED_REPORT_DT")</f>
        <v>#N/A Field Not Applicable</v>
      </c>
      <c r="AC122" s="15" t="e">
        <f>S122*H122*O122/N122</f>
        <v>#VALUE!</v>
      </c>
      <c r="AD122" s="47" t="e">
        <f>AC122/'Master P&amp;L'!$AE$5</f>
        <v>#VALUE!</v>
      </c>
      <c r="AG122" t="str">
        <f>B122&amp;" -&gt; Buy to open "&amp;H122&amp;"x"</f>
        <v>RFSWZ4C3 2360 -&gt; Buy to open 35x</v>
      </c>
    </row>
    <row r="123" spans="1:33">
      <c r="A123" s="97" t="s">
        <v>246</v>
      </c>
      <c r="B123" s="131" t="s">
        <v>270</v>
      </c>
      <c r="C123" t="str" cm="1">
        <f t="array" ref="C123">_xll.BDP(B123&amp;" Index","OPT_UNDL_TICKER")</f>
        <v>RFSZ24</v>
      </c>
      <c r="D123" t="str" cm="1">
        <f t="array" ref="D123">_xll.BDP($B123&amp;" Index","mifid_Maturity_date")</f>
        <v>19/12/2024</v>
      </c>
      <c r="E123" cm="1">
        <f t="array" ref="E123">_xll.BDP($B123&amp;" Index","opt_days_expire")</f>
        <v>-411</v>
      </c>
      <c r="F123" t="str" cm="1">
        <f t="array" ref="F123">_xll.BDP(B123&amp;" Index","QUOTED_CURRENCY_REALTIME")</f>
        <v>#N/A Real Time</v>
      </c>
      <c r="G123" s="104" t="s">
        <v>248</v>
      </c>
      <c r="H123" s="95">
        <f>H122/H121</f>
        <v>35</v>
      </c>
      <c r="I123" s="96" t="str">
        <f>IF(G123="Buy",L123,K123)</f>
        <v>#N/A Real Time</v>
      </c>
      <c r="J123" s="18" t="e">
        <f>I123/S123</f>
        <v>#VALUE!</v>
      </c>
      <c r="K123" s="35" t="str" cm="1">
        <f t="array" ref="K123">_xll.BDP($B123&amp;" Index","bid")</f>
        <v>#N/A Real Time</v>
      </c>
      <c r="L123" s="35" t="str" cm="1">
        <f t="array" ref="L123">_xll.BDP($B123&amp;" Index","ask")</f>
        <v>#N/A Real Time</v>
      </c>
      <c r="M123" s="39" t="e">
        <f>(L123/K123-1)</f>
        <v>#VALUE!</v>
      </c>
      <c r="N123" s="35" t="str">
        <f>_xll.BDP(F123&amp;" Curncy","PX_LAST")</f>
        <v>#N/A Real Time Curncy</v>
      </c>
      <c r="O123" s="164">
        <v>50</v>
      </c>
      <c r="P123" s="15" t="e">
        <f>IF(G123="Buy",((I123/N123)*H123*O123),((I123/N123)*-H123*O123))</f>
        <v>#VALUE!</v>
      </c>
      <c r="Q123" s="57" t="e">
        <f>P123/'Master P&amp;L'!$AD$5*10000</f>
        <v>#VALUE!</v>
      </c>
      <c r="R123" s="36" t="e" cm="1">
        <f t="array" ref="R123">_xll.BDP($C123&amp;" Index","EST_PE_NXT_YR")*(T123/S123)</f>
        <v>#VALUE!</v>
      </c>
      <c r="S123" s="35" t="str" cm="1">
        <f t="array" ref="S123">_xll.BDP(C123&amp;" Index","LAST_PRICE")</f>
        <v>#N/A Real Time</v>
      </c>
      <c r="T123" s="52" cm="1">
        <f t="array" ref="T123">_xll.BDP(B123&amp;" Index","OPT_STRIKE_PX")</f>
        <v>2400</v>
      </c>
      <c r="U123" s="39" t="e">
        <f>T123/S123-1</f>
        <v>#VALUE!</v>
      </c>
      <c r="V123" s="36" t="str" cm="1">
        <f t="array" ref="V123">_xll.BDP($B123&amp;" Index","ivol_mid")</f>
        <v>#N/A Field Not Applicable</v>
      </c>
      <c r="W123" s="37" t="str" cm="1">
        <f t="array" ref="W123">_xll.BDP(B123&amp;" Index","DELTA_MID_RT")</f>
        <v>#N/A Real Time</v>
      </c>
      <c r="X123" s="47" t="e">
        <f>Y123/'Master P&amp;L'!$AE$5</f>
        <v>#VALUE!</v>
      </c>
      <c r="Y123" s="15" t="e">
        <f>IF(G123="Sell", S123*W123*-H123*O123/N123, S123*W123*H123*O123/N123)</f>
        <v>#VALUE!</v>
      </c>
      <c r="Z123" s="15" t="e" cm="1">
        <f t="array" ref="Z123">_xll.BDP($B123&amp;" Index","opt_theta")*H123*O123/N123</f>
        <v>#VALUE!</v>
      </c>
      <c r="AA123" s="125" t="e" cm="1">
        <f t="array" ref="AA123">_xll.BDP($B123&amp;" Index","opt_theta")/I123</f>
        <v>#VALUE!</v>
      </c>
      <c r="AB123" s="35" t="str" cm="1">
        <f t="array" ref="AB123">_xll.BDP($C123&amp;" Index","EXPECTED_REPORT_DT")</f>
        <v>#N/A Field Not Applicable</v>
      </c>
      <c r="AC123" s="15" t="e">
        <f>S123*H123*O123/N123</f>
        <v>#VALUE!</v>
      </c>
      <c r="AD123" s="47" t="e">
        <f>AC123/'Master P&amp;L'!$AE$5</f>
        <v>#VALUE!</v>
      </c>
      <c r="AG123" t="str">
        <f>B123&amp;" -&gt; Buy to open "&amp;H123&amp;"x"</f>
        <v>RFSWZ4C3 2400 -&gt; Buy to open 35x</v>
      </c>
    </row>
    <row r="124" spans="1:33">
      <c r="H124" s="99" t="s">
        <v>116</v>
      </c>
      <c r="I124" s="101" t="e">
        <f>I122-I123</f>
        <v>#VALUE!</v>
      </c>
      <c r="J124" s="99" t="s">
        <v>249</v>
      </c>
      <c r="K124" s="100" t="e">
        <f>K123/L122</f>
        <v>#VALUE!</v>
      </c>
      <c r="O124" s="163"/>
      <c r="P124" s="99" t="s">
        <v>250</v>
      </c>
      <c r="Q124" s="107" t="e">
        <f>Q122+Q123</f>
        <v>#VALUE!</v>
      </c>
      <c r="S124" s="99" t="s">
        <v>251</v>
      </c>
      <c r="T124" s="101">
        <f>T123-T122</f>
        <v>40</v>
      </c>
      <c r="W124" s="99" t="s">
        <v>252</v>
      </c>
      <c r="X124" s="121" t="e">
        <f>X122+X123</f>
        <v>#VALUE!</v>
      </c>
      <c r="Y124" s="13" t="e">
        <f>Y122+Y123</f>
        <v>#VALUE!</v>
      </c>
      <c r="AC124" s="99" t="s">
        <v>229</v>
      </c>
      <c r="AD124" s="121" t="e">
        <f>AD122</f>
        <v>#VALUE!</v>
      </c>
    </row>
    <row r="125" spans="1:33">
      <c r="H125" s="99" t="s">
        <v>253</v>
      </c>
      <c r="I125" s="101" t="e">
        <f>(T124-I124)/I124</f>
        <v>#VALUE!</v>
      </c>
      <c r="J125" s="99" t="s">
        <v>145</v>
      </c>
      <c r="K125" s="108" t="e">
        <f>AVERAGE(K122:L122)-AVERAGE(K123:L123)</f>
        <v>#DIV/0!</v>
      </c>
      <c r="O125" s="163"/>
      <c r="P125" s="99"/>
      <c r="Q125" s="107"/>
      <c r="S125" s="99"/>
      <c r="T125" s="101"/>
      <c r="W125" s="99"/>
      <c r="X125" s="121"/>
      <c r="Y125" s="13" t="e">
        <f>Y124/S122</f>
        <v>#VALUE!</v>
      </c>
      <c r="AC125" s="99"/>
      <c r="AD125" s="103"/>
    </row>
    <row r="126" spans="1:33">
      <c r="K126" s="166" t="e">
        <f>K122-K123</f>
        <v>#VALUE!</v>
      </c>
      <c r="L126" s="166" t="e">
        <f>L122-L123</f>
        <v>#VALUE!</v>
      </c>
      <c r="O126" s="163"/>
    </row>
    <row r="128" spans="1:33">
      <c r="B128" s="167" t="s">
        <v>268</v>
      </c>
      <c r="D128" s="167" t="str">
        <f>D129</f>
        <v>23/12/2024</v>
      </c>
      <c r="H128" s="167">
        <v>1</v>
      </c>
      <c r="O128" s="163"/>
      <c r="S128" s="63"/>
    </row>
    <row r="129" spans="1:33">
      <c r="A129" s="97" t="s">
        <v>246</v>
      </c>
      <c r="B129" s="131" t="s">
        <v>271</v>
      </c>
      <c r="C129" t="str" cm="1">
        <f t="array" ref="C129">_xll.BDP(B129&amp;" Index","OPT_UNDL_TICKER")</f>
        <v>MRYH5</v>
      </c>
      <c r="D129" t="str" cm="1">
        <f t="array" ref="D129">_xll.BDP($B129&amp;" Index","mifid_Maturity_date")</f>
        <v>23/12/2024</v>
      </c>
      <c r="E129" cm="1">
        <f t="array" ref="E129">_xll.BDP($B129&amp;" Index","opt_days_expire")</f>
        <v>-407</v>
      </c>
      <c r="F129" t="str" cm="1">
        <f t="array" ref="F129">_xll.BDP(B129&amp;" Index","QUOTED_CURRENCY_REALTIME")</f>
        <v>#N/A Real Time</v>
      </c>
      <c r="G129" s="104" t="s">
        <v>247</v>
      </c>
      <c r="H129" s="95">
        <v>10</v>
      </c>
      <c r="I129" s="96" t="str">
        <f>IF(G129="Buy",L129,K129)</f>
        <v>#N/A Real Time</v>
      </c>
      <c r="J129" s="18" t="e">
        <f>I129/S129</f>
        <v>#VALUE!</v>
      </c>
      <c r="K129" s="35" t="str" cm="1">
        <f t="array" ref="K129">_xll.BDP($B129&amp;" Index","bid")</f>
        <v>#N/A Real Time</v>
      </c>
      <c r="L129" s="35" t="str" cm="1">
        <f t="array" ref="L129">_xll.BDP($B129&amp;" Index","ask")</f>
        <v>#N/A Real Time</v>
      </c>
      <c r="M129" s="39" t="e">
        <f>(L129/K129-1)</f>
        <v>#VALUE!</v>
      </c>
      <c r="N129" s="35" t="str">
        <f>_xll.BDP(F129&amp;" Curncy","PX_LAST")</f>
        <v>#N/A Real Time Curncy</v>
      </c>
      <c r="O129" s="164">
        <v>50</v>
      </c>
      <c r="P129" s="15" t="e">
        <f>IF(G129="Buy",((I129/N129)*H129*O129),((I129/N129)*-H129*O129))</f>
        <v>#VALUE!</v>
      </c>
      <c r="Q129" s="57" t="e">
        <f>P129/'Master P&amp;L'!$AD$5*10000</f>
        <v>#VALUE!</v>
      </c>
      <c r="R129" s="36" t="e" cm="1">
        <f t="array" ref="R129">_xll.BDP($C129&amp;" Index","EST_PE_NXT_YR")*(T129/S129)</f>
        <v>#VALUE!</v>
      </c>
      <c r="S129" s="35" t="str" cm="1">
        <f t="array" ref="S129">_xll.BDP(C129&amp;" Index","LAST_PRICE")</f>
        <v>#N/A Real Time</v>
      </c>
      <c r="T129" s="52" cm="1">
        <f t="array" ref="T129">_xll.BDP(B129&amp;" Index","OPT_STRIKE_PX")</f>
        <v>2390</v>
      </c>
      <c r="U129" s="39" t="e">
        <f>T129/S129-1</f>
        <v>#VALUE!</v>
      </c>
      <c r="V129" s="36" t="str" cm="1">
        <f t="array" ref="V129">_xll.BDP($B129&amp;" Index","ivol_mid")</f>
        <v>#N/A Field Not Applicable</v>
      </c>
      <c r="W129" s="37" t="str" cm="1">
        <f t="array" ref="W129">_xll.BDP(B129&amp;" Index","DELTA_MID_RT")</f>
        <v>#N/A Real Time</v>
      </c>
      <c r="X129" s="47" t="e">
        <f>Y129/'Master P&amp;L'!$AE$5</f>
        <v>#VALUE!</v>
      </c>
      <c r="Y129" s="15" t="e">
        <f>IF(G129="Sell", S129*W129*-H129*O129/N129, S129*W129*H129*O129/N129)</f>
        <v>#VALUE!</v>
      </c>
      <c r="Z129" s="15" t="e" cm="1">
        <f t="array" ref="Z129">_xll.BDP($B129&amp;" Index","opt_theta")*H129*O129/N129</f>
        <v>#VALUE!</v>
      </c>
      <c r="AA129" s="125" t="e" cm="1">
        <f t="array" ref="AA129">_xll.BDP($B129&amp;" Index","opt_theta")/I129</f>
        <v>#VALUE!</v>
      </c>
      <c r="AB129" s="35" t="str" cm="1">
        <f t="array" ref="AB129">_xll.BDP($C129&amp;" Index","EXPECTED_REPORT_DT")</f>
        <v>#N/A Field Not Applicable</v>
      </c>
      <c r="AC129" s="15" t="e">
        <f>S129*H129*O129/N129</f>
        <v>#VALUE!</v>
      </c>
      <c r="AD129" s="47" t="e">
        <f>AC129/'Master P&amp;L'!$AE$5</f>
        <v>#VALUE!</v>
      </c>
      <c r="AG129" t="str">
        <f>B129&amp;" -&gt; Buy to open "&amp;H129&amp;"x"</f>
        <v>MRYWZ4C4 2390 -&gt; Buy to open 10x</v>
      </c>
    </row>
    <row r="130" spans="1:33">
      <c r="A130" s="97"/>
      <c r="B130" s="131"/>
      <c r="G130" s="104"/>
      <c r="H130" s="95"/>
      <c r="I130" s="96"/>
      <c r="J130" s="18"/>
      <c r="K130" s="35"/>
      <c r="L130" s="35"/>
      <c r="M130" s="39"/>
      <c r="N130" s="35"/>
      <c r="O130" s="164"/>
      <c r="P130" s="15"/>
      <c r="Q130" s="57"/>
      <c r="R130" s="36"/>
      <c r="S130" s="35"/>
      <c r="T130" s="52"/>
      <c r="U130" s="39"/>
      <c r="V130" s="36"/>
      <c r="W130" s="37"/>
      <c r="X130" s="47"/>
      <c r="Y130" s="15"/>
      <c r="Z130" s="15"/>
      <c r="AA130" s="125"/>
      <c r="AB130" s="35"/>
      <c r="AC130" s="15"/>
      <c r="AD130" s="47"/>
    </row>
    <row r="131" spans="1:33">
      <c r="H131" s="99" t="s">
        <v>116</v>
      </c>
      <c r="I131" s="101" t="e">
        <f>I129-I130</f>
        <v>#VALUE!</v>
      </c>
      <c r="J131" s="99" t="s">
        <v>249</v>
      </c>
      <c r="K131" s="100" t="e">
        <f>K130/L129</f>
        <v>#VALUE!</v>
      </c>
      <c r="O131" s="163"/>
      <c r="P131" s="99" t="s">
        <v>250</v>
      </c>
      <c r="Q131" s="107" t="e">
        <f>Q129+Q130</f>
        <v>#VALUE!</v>
      </c>
      <c r="S131" s="99" t="s">
        <v>251</v>
      </c>
      <c r="T131" s="101">
        <f>T130-T129</f>
        <v>-2390</v>
      </c>
      <c r="W131" s="99" t="s">
        <v>252</v>
      </c>
      <c r="X131" s="121" t="e">
        <f>X129+X130</f>
        <v>#VALUE!</v>
      </c>
      <c r="Y131" s="13" t="e">
        <f>Y129+Y130</f>
        <v>#VALUE!</v>
      </c>
      <c r="AC131" s="99" t="s">
        <v>229</v>
      </c>
      <c r="AD131" s="121" t="e">
        <f>AD129</f>
        <v>#VALUE!</v>
      </c>
    </row>
    <row r="132" spans="1:33">
      <c r="H132" s="99" t="s">
        <v>253</v>
      </c>
      <c r="I132" s="101" t="e">
        <f>(T131-I131)/I131</f>
        <v>#VALUE!</v>
      </c>
      <c r="J132" s="99" t="s">
        <v>145</v>
      </c>
      <c r="K132" s="108" t="e">
        <f>AVERAGE(K129:L129)-AVERAGE(K130:L130)</f>
        <v>#DIV/0!</v>
      </c>
      <c r="O132" s="163"/>
      <c r="P132" s="99"/>
      <c r="Q132" s="107"/>
      <c r="S132" s="99"/>
      <c r="T132" s="101"/>
      <c r="W132" s="99"/>
      <c r="X132" s="121"/>
      <c r="Y132" s="13" t="e">
        <f>Y131/S129</f>
        <v>#VALUE!</v>
      </c>
      <c r="AC132" s="99"/>
      <c r="AD132" s="103"/>
    </row>
    <row r="133" spans="1:33">
      <c r="K133" s="166" t="e">
        <f>K129-K130</f>
        <v>#VALUE!</v>
      </c>
      <c r="L133" s="166" t="e">
        <f>L129-L130</f>
        <v>#VALUE!</v>
      </c>
      <c r="O133" s="163"/>
    </row>
    <row r="135" spans="1:33">
      <c r="H135">
        <v>0.5</v>
      </c>
      <c r="K135" t="e">
        <f>K137/L138</f>
        <v>#VALUE!</v>
      </c>
    </row>
    <row r="136" spans="1:33">
      <c r="A136" s="97" t="s">
        <v>256</v>
      </c>
      <c r="B136" s="58" t="s">
        <v>1732</v>
      </c>
      <c r="C136" t="str" cm="1">
        <f t="array" ref="C136">_xll.BDP(B136&amp;" Index","OPT_UNDL_TICKER")</f>
        <v>4EU5</v>
      </c>
      <c r="D136" t="str" cm="1">
        <f t="array" ref="D136">_xll.BDP($B136&amp;" Index","mifid_Maturity_date")</f>
        <v>27/06/2025</v>
      </c>
      <c r="E136" cm="1">
        <f t="array" ref="E136">_xll.BDP($B136&amp;" Index","opt_days_expire")</f>
        <v>-221</v>
      </c>
      <c r="F136" t="str" cm="1">
        <f t="array" ref="F136">_xll.BDP(B136&amp;" Index","QUOTED_CURRENCY_REALTIME")</f>
        <v>#N/A Real Time</v>
      </c>
      <c r="G136" s="104" t="s">
        <v>248</v>
      </c>
      <c r="H136" s="95">
        <f>H135*H137</f>
        <v>75</v>
      </c>
      <c r="I136" s="96" t="str">
        <f>IF(G136="Buy",L136,K136)</f>
        <v>#N/A Real Time</v>
      </c>
      <c r="J136" s="18" t="e">
        <f>I136/S136</f>
        <v>#VALUE!</v>
      </c>
      <c r="K136" s="35" t="str" cm="1">
        <f t="array" ref="K136">_xll.BDP($B136&amp;" Index","bid")</f>
        <v>#N/A Real Time</v>
      </c>
      <c r="L136" s="35" t="str" cm="1">
        <f t="array" ref="L136">_xll.BDP($B136&amp;" Index","ask")</f>
        <v>#N/A Real Time</v>
      </c>
      <c r="M136" s="39" t="e">
        <f>(L136/K136-1)</f>
        <v>#VALUE!</v>
      </c>
      <c r="N136" s="35" t="str">
        <f>_xll.BDP(F136&amp;" Curncy","PX_LAST")</f>
        <v>#N/A Real Time Curncy</v>
      </c>
      <c r="O136" s="161">
        <v>50</v>
      </c>
      <c r="P136" s="15" t="e">
        <f>IF(G136="Buy",((I136/N136)*H136*O136),((I136/N136)*-H136*O136))</f>
        <v>#VALUE!</v>
      </c>
      <c r="Q136" s="57" t="e">
        <f>P136/'Master P&amp;L'!$AD$5*10000</f>
        <v>#VALUE!</v>
      </c>
      <c r="R136" s="36" t="e" cm="1">
        <f t="array" ref="R136">_xll.BDP($C136&amp;" Index","EST_PE_NXT_YR")*(T136/S136)</f>
        <v>#VALUE!</v>
      </c>
      <c r="S136" s="35" t="str" cm="1">
        <f t="array" ref="S136">_xll.BDP(C136&amp;" Index","LAST_PRICE")</f>
        <v>#N/A Real Time</v>
      </c>
      <c r="T136" s="52" cm="1">
        <f t="array" ref="T136">_xll.BDP(B136&amp;" Index","OPT_STRIKE_PX")</f>
        <v>6300</v>
      </c>
      <c r="U136" s="39" t="e">
        <f>T136/S136-1</f>
        <v>#VALUE!</v>
      </c>
      <c r="V136" s="36" t="str" cm="1">
        <f t="array" ref="V136">_xll.BDP($B136&amp;" Index","ivol_mid")</f>
        <v>#N/A Field Not Applicable</v>
      </c>
      <c r="W136" s="37" t="str" cm="1">
        <f t="array" ref="W136">_xll.BDP(B136&amp;" Index","DELTA_MID_RT")</f>
        <v>#N/A Real Time</v>
      </c>
      <c r="X136" s="47" t="e">
        <f>Y136/'Master P&amp;L'!$AE$5</f>
        <v>#VALUE!</v>
      </c>
      <c r="Y136" s="15" t="e">
        <f>IF(G136="Sell", S136*W136*-H136*O136/N136, S136*W136*H136*O136/N136)</f>
        <v>#VALUE!</v>
      </c>
      <c r="Z136" s="15" t="e" cm="1">
        <f t="array" ref="Z136">_xll.BDP($B136&amp;" Index","opt_theta")*H136*O136/N136</f>
        <v>#VALUE!</v>
      </c>
      <c r="AA136" s="125" t="e" cm="1">
        <f t="array" ref="AA136">_xll.BDP($B136&amp;" Index","opt_theta")/I136</f>
        <v>#VALUE!</v>
      </c>
      <c r="AB136" s="35" t="str" cm="1">
        <f t="array" ref="AB136">_xll.BDP($C136&amp;" Index","EXPECTED_REPORT_DT")</f>
        <v>#N/A Field Not Applicable</v>
      </c>
      <c r="AC136" s="15" t="e">
        <f>S136*H136*O136/N136</f>
        <v>#VALUE!</v>
      </c>
      <c r="AD136" s="47" t="e">
        <f>AC136/'Master P&amp;L'!$AE$5</f>
        <v>#VALUE!</v>
      </c>
      <c r="AG136" t="str">
        <f>B136&amp;" -&gt; Buy to open "&amp;H136&amp;"x"</f>
        <v>4EM5C    6300 -&gt; Buy to open 75x</v>
      </c>
    </row>
    <row r="137" spans="1:33">
      <c r="A137" s="97" t="s">
        <v>256</v>
      </c>
      <c r="B137" s="58" t="s">
        <v>1735</v>
      </c>
      <c r="C137" t="str" cm="1">
        <f t="array" ref="C137">_xll.BDP(B137&amp;" Index","OPT_UNDL_TICKER")</f>
        <v>4EU5</v>
      </c>
      <c r="D137" t="str" cm="1">
        <f t="array" ref="D137">_xll.BDP($B137&amp;" Index","mifid_Maturity_date")</f>
        <v>27/06/2025</v>
      </c>
      <c r="E137" cm="1">
        <f t="array" ref="E137">_xll.BDP($B137&amp;" Index","opt_days_expire")</f>
        <v>-221</v>
      </c>
      <c r="F137" t="str" cm="1">
        <f t="array" ref="F137">_xll.BDP(B137&amp;" Index","QUOTED_CURRENCY_REALTIME")</f>
        <v>#N/A Real Time</v>
      </c>
      <c r="G137" s="104" t="s">
        <v>247</v>
      </c>
      <c r="H137" s="95">
        <v>150</v>
      </c>
      <c r="I137" s="96" t="str">
        <f>IF(G137="Buy",L137,K137)</f>
        <v>#N/A Real Time</v>
      </c>
      <c r="J137" s="18" t="e">
        <f>I137/S137</f>
        <v>#VALUE!</v>
      </c>
      <c r="K137" s="35" t="str" cm="1">
        <f t="array" ref="K137">_xll.BDP($B137&amp;" Index","bid")</f>
        <v>#N/A Real Time</v>
      </c>
      <c r="L137" s="35" t="str" cm="1">
        <f t="array" ref="L137">_xll.BDP($B137&amp;" Index","ask")</f>
        <v>#N/A Real Time</v>
      </c>
      <c r="M137" s="39" t="e">
        <f>(L137/K137-1)</f>
        <v>#VALUE!</v>
      </c>
      <c r="N137" s="35" t="str">
        <f>_xll.BDP(F137&amp;" Curncy","PX_LAST")</f>
        <v>#N/A Real Time Curncy</v>
      </c>
      <c r="O137" s="161">
        <v>50</v>
      </c>
      <c r="P137" s="15" t="e">
        <f>IF(G137="Buy",((I137/N137)*H137*O137),((I137/N137)*-H137*O137))</f>
        <v>#VALUE!</v>
      </c>
      <c r="Q137" s="57" t="e">
        <f>P137/'Master P&amp;L'!$AD$5*10000</f>
        <v>#VALUE!</v>
      </c>
      <c r="R137" s="36" t="e" cm="1">
        <f t="array" ref="R137">_xll.BDP($C137&amp;" Index","EST_PE_NXT_YR")*(T137/S137)</f>
        <v>#VALUE!</v>
      </c>
      <c r="S137" s="35" t="str" cm="1">
        <f t="array" ref="S137">_xll.BDP(C137&amp;" Index","LAST_PRICE")</f>
        <v>#N/A Real Time</v>
      </c>
      <c r="T137" s="52" cm="1">
        <f t="array" ref="T137">_xll.BDP(B137&amp;" Index","OPT_STRIKE_PX")</f>
        <v>6025</v>
      </c>
      <c r="U137" s="39" t="e">
        <f>T137/S137-1</f>
        <v>#VALUE!</v>
      </c>
      <c r="V137" s="36" t="str" cm="1">
        <f t="array" ref="V137">_xll.BDP($B137&amp;" Index","ivol_mid")</f>
        <v>#N/A Field Not Applicable</v>
      </c>
      <c r="W137" s="37" t="str" cm="1">
        <f t="array" ref="W137">_xll.BDP(B137&amp;" Index","DELTA_MID_RT")</f>
        <v>#N/A Real Time</v>
      </c>
      <c r="X137" s="47" t="e">
        <f>Y137/'Master P&amp;L'!$AE$5</f>
        <v>#VALUE!</v>
      </c>
      <c r="Y137" s="15" t="e">
        <f>IF(G137="Sell", S137*W137*-H137*O137/N137, S137*W137*H137*O137/N137)</f>
        <v>#VALUE!</v>
      </c>
      <c r="Z137" s="15" t="e" cm="1">
        <f t="array" ref="Z137">_xll.BDP($B137&amp;" Index","opt_theta")*H137*O137/N137</f>
        <v>#VALUE!</v>
      </c>
      <c r="AA137" s="125" t="e" cm="1">
        <f t="array" ref="AA137">_xll.BDP($B137&amp;" Index","opt_theta")/I137</f>
        <v>#VALUE!</v>
      </c>
      <c r="AB137" s="35" t="str" cm="1">
        <f t="array" ref="AB137">_xll.BDP($C137&amp;" Index","EXPECTED_REPORT_DT")</f>
        <v>#N/A Field Not Applicable</v>
      </c>
      <c r="AC137" s="15" t="e">
        <f>S137*H137*O137/N137</f>
        <v>#VALUE!</v>
      </c>
      <c r="AD137" s="47" t="e">
        <f>AC137/'Master P&amp;L'!$AE$5</f>
        <v>#VALUE!</v>
      </c>
      <c r="AG137" t="str">
        <f>B137&amp;" -&gt; Buy to open "&amp;H137&amp;"x"</f>
        <v>4EM5P    6025 -&gt; Buy to open 150x</v>
      </c>
    </row>
    <row r="138" spans="1:33">
      <c r="A138" s="97" t="s">
        <v>256</v>
      </c>
      <c r="B138" s="58" t="s">
        <v>1731</v>
      </c>
      <c r="C138" t="str" cm="1">
        <f t="array" ref="C138">_xll.BDP(B138&amp;" Index","OPT_UNDL_TICKER")</f>
        <v>4EU5</v>
      </c>
      <c r="D138" t="str" cm="1">
        <f t="array" ref="D138">_xll.BDP($B138&amp;" Index","mifid_Maturity_date")</f>
        <v>27/06/2025</v>
      </c>
      <c r="E138" cm="1">
        <f t="array" ref="E138">_xll.BDP($B138&amp;" Index","opt_days_expire")</f>
        <v>-221</v>
      </c>
      <c r="F138" t="str" cm="1">
        <f t="array" ref="F138">_xll.BDP(B138&amp;" Index","QUOTED_CURRENCY_REALTIME")</f>
        <v>#N/A Real Time</v>
      </c>
      <c r="G138" s="104" t="s">
        <v>248</v>
      </c>
      <c r="H138" s="95">
        <f>H137</f>
        <v>150</v>
      </c>
      <c r="I138" s="96" t="str">
        <f>IF(G138="Buy",L138,K138)</f>
        <v>#N/A Real Time</v>
      </c>
      <c r="J138" s="18" t="e">
        <f>I138/S138</f>
        <v>#VALUE!</v>
      </c>
      <c r="K138" s="35" t="str" cm="1">
        <f t="array" ref="K138">_xll.BDP($B138&amp;" Index","bid")</f>
        <v>#N/A Real Time</v>
      </c>
      <c r="L138" s="35" t="str" cm="1">
        <f t="array" ref="L138">_xll.BDP($B138&amp;" Index","ask")</f>
        <v>#N/A Real Time</v>
      </c>
      <c r="M138" s="39" t="e">
        <f>(L138/K138-1)</f>
        <v>#VALUE!</v>
      </c>
      <c r="N138" s="35" t="str">
        <f>_xll.BDP(F138&amp;" Curncy","PX_LAST")</f>
        <v>#N/A Real Time Curncy</v>
      </c>
      <c r="O138" s="161">
        <v>50</v>
      </c>
      <c r="P138" s="15" t="e">
        <f>IF(G138="Buy",((I138/N138)*H138*O138),((I138/N138)*-H138*O138))</f>
        <v>#VALUE!</v>
      </c>
      <c r="Q138" s="57" t="e">
        <f>P138/'Master P&amp;L'!$AD$5*10000</f>
        <v>#VALUE!</v>
      </c>
      <c r="R138" s="36" t="e" cm="1">
        <f t="array" ref="R138">_xll.BDP($C138&amp;" Index","EST_PE_NXT_YR")*(T138/S138)</f>
        <v>#VALUE!</v>
      </c>
      <c r="S138" s="35" t="str" cm="1">
        <f t="array" ref="S138">_xll.BDP(C138&amp;" Index","LAST_PRICE")</f>
        <v>#N/A Real Time</v>
      </c>
      <c r="T138" s="52" cm="1">
        <f t="array" ref="T138">_xll.BDP(B138&amp;" Index","OPT_STRIKE_PX")</f>
        <v>5800</v>
      </c>
      <c r="U138" s="39" t="e">
        <f>T138/S138-1</f>
        <v>#VALUE!</v>
      </c>
      <c r="V138" s="36" t="str" cm="1">
        <f t="array" ref="V138">_xll.BDP($B138&amp;" Index","ivol_mid")</f>
        <v>#N/A Field Not Applicable</v>
      </c>
      <c r="W138" s="37" t="str" cm="1">
        <f t="array" ref="W138">_xll.BDP(B138&amp;" Index","DELTA_MID_RT")</f>
        <v>#N/A Real Time</v>
      </c>
      <c r="X138" s="47" t="e">
        <f>Y138/'Master P&amp;L'!$AE$5</f>
        <v>#VALUE!</v>
      </c>
      <c r="Y138" s="15" t="e">
        <f>IF(G138="Sell", S138*W138*-H138*O138/N138, S138*W138*H138*O138/N138)</f>
        <v>#VALUE!</v>
      </c>
      <c r="Z138" s="15" t="e" cm="1">
        <f t="array" ref="Z138">_xll.BDP($B138&amp;" Index","opt_theta")*H138*O138/N138</f>
        <v>#VALUE!</v>
      </c>
      <c r="AA138" s="125" t="e" cm="1">
        <f t="array" ref="AA138">_xll.BDP($B138&amp;" Index","opt_theta")/I138</f>
        <v>#VALUE!</v>
      </c>
      <c r="AB138" s="35" t="str" cm="1">
        <f t="array" ref="AB138">_xll.BDP($C138&amp;" Index","EXPECTED_REPORT_DT")</f>
        <v>#N/A Field Not Applicable</v>
      </c>
      <c r="AC138" s="15" t="e">
        <f>S138*H138*O138/N138</f>
        <v>#VALUE!</v>
      </c>
      <c r="AD138" s="47" t="e">
        <f>AC138/'Master P&amp;L'!$AE$5</f>
        <v>#VALUE!</v>
      </c>
      <c r="AG138" t="str">
        <f>B138&amp;" -&gt; Buy to open "&amp;H138&amp;"x"</f>
        <v>4EM5P    5800 -&gt; Buy to open 150x</v>
      </c>
    </row>
    <row r="139" spans="1:33">
      <c r="H139" s="99" t="s">
        <v>116</v>
      </c>
      <c r="I139" s="101" t="e">
        <f>I137-I136-I138</f>
        <v>#VALUE!</v>
      </c>
      <c r="J139" s="99" t="s">
        <v>249</v>
      </c>
      <c r="K139" s="100" t="e">
        <f>K138/L137</f>
        <v>#VALUE!</v>
      </c>
      <c r="P139" s="129" t="e">
        <f>P137+P138+P136</f>
        <v>#VALUE!</v>
      </c>
      <c r="Q139" s="57" t="e">
        <f>P139/'Master P&amp;L'!$AD$5*10000</f>
        <v>#VALUE!</v>
      </c>
      <c r="S139" s="99" t="s">
        <v>251</v>
      </c>
      <c r="T139" s="101">
        <f>T137-T138</f>
        <v>225</v>
      </c>
      <c r="W139" s="99" t="s">
        <v>252</v>
      </c>
      <c r="X139" s="121" t="e">
        <f>X137+X138+X136</f>
        <v>#VALUE!</v>
      </c>
      <c r="AC139" s="99" t="s">
        <v>229</v>
      </c>
      <c r="AD139" s="121" t="e">
        <f>AD137</f>
        <v>#VALUE!</v>
      </c>
    </row>
    <row r="140" spans="1:33">
      <c r="H140" s="99" t="s">
        <v>253</v>
      </c>
      <c r="I140" s="101" t="e">
        <f>(T139-I139)/I139</f>
        <v>#VALUE!</v>
      </c>
      <c r="J140" s="99" t="s">
        <v>145</v>
      </c>
      <c r="K140" s="108" t="e">
        <f>-AVERAGE(K136:L136)+AVERAGE(K137:L137)-AVERAGE(K138:L138)</f>
        <v>#DIV/0!</v>
      </c>
      <c r="P140" s="99"/>
      <c r="Q140" s="107"/>
      <c r="S140" s="99"/>
      <c r="T140" s="101"/>
      <c r="W140" s="99"/>
      <c r="X140" s="121"/>
      <c r="Y140" s="13" t="e">
        <f>(Y136+Y137+Y138)/S137</f>
        <v>#VALUE!</v>
      </c>
      <c r="AC140" s="99"/>
      <c r="AD140" s="103"/>
    </row>
    <row r="141" spans="1:33">
      <c r="K141" s="63" t="e">
        <f>K137-K138</f>
        <v>#VALUE!</v>
      </c>
      <c r="L141" s="63" t="e">
        <f>L137-L138</f>
        <v>#VALUE!</v>
      </c>
    </row>
    <row r="142" spans="1:33">
      <c r="H142">
        <v>1</v>
      </c>
    </row>
    <row r="144" spans="1:33">
      <c r="A144" s="97" t="s">
        <v>256</v>
      </c>
      <c r="B144" s="315" t="s">
        <v>1898</v>
      </c>
      <c r="C144" t="str" cm="1">
        <f t="array" ref="C144">_xll.BDP(B144&amp;" Index","OPT_UNDL_TICKER")</f>
        <v>RUWZ5</v>
      </c>
      <c r="D144" t="str" cm="1">
        <f t="array" ref="D144">_xll.BDP($B144&amp;" Index","mifid_Maturity_date")</f>
        <v>19/09/2025</v>
      </c>
      <c r="E144" cm="1">
        <f t="array" ref="E144">_xll.BDP($B144&amp;" Index","opt_days_expire")</f>
        <v>-137</v>
      </c>
      <c r="F144" t="str" cm="1">
        <f t="array" ref="F144">_xll.BDP(B144&amp;" Index","QUOTED_CURRENCY_REALTIME")</f>
        <v>#N/A Real Time</v>
      </c>
      <c r="G144" s="104" t="s">
        <v>247</v>
      </c>
      <c r="H144" s="95">
        <v>175</v>
      </c>
      <c r="I144" s="96" t="str">
        <f>IF(G144="Buy",L144,K144)</f>
        <v>#N/A Real Time</v>
      </c>
      <c r="J144" s="18" t="e">
        <f>I144/S144</f>
        <v>#VALUE!</v>
      </c>
      <c r="K144" s="35" t="str" cm="1">
        <f t="array" ref="K144">_xll.BDP($B144&amp;" Index","bid")</f>
        <v>#N/A Real Time</v>
      </c>
      <c r="L144" s="35" t="str" cm="1">
        <f t="array" ref="L144">_xll.BDP($B144&amp;" Index","ask")</f>
        <v>#N/A Real Time</v>
      </c>
      <c r="M144" s="39" t="e">
        <f>(L144/K144-1)</f>
        <v>#VALUE!</v>
      </c>
      <c r="N144" s="35" t="str" cm="1">
        <f t="array" ref="N144">_xll.BDP(F144&amp;" Curncy","PX_LAST")</f>
        <v>#N/A Real Time Curncy</v>
      </c>
      <c r="O144" s="161">
        <v>50</v>
      </c>
      <c r="P144" s="15" t="e">
        <f>IF(G144="Buy",((I144/N144)*H144*O144),((I144/N144)*-H144*O144))</f>
        <v>#VALUE!</v>
      </c>
      <c r="Q144" s="57" t="e">
        <f>P144/'Master P&amp;L'!$AD$5*10000</f>
        <v>#VALUE!</v>
      </c>
      <c r="R144" s="36" t="e" cm="1">
        <f t="array" ref="R144">_xll.BDP($C144&amp;" Index","EST_PE_NXT_YR")*(T144/S144)</f>
        <v>#VALUE!</v>
      </c>
      <c r="S144" s="35" t="str" cm="1">
        <f t="array" ref="S144">_xll.BDP(C144&amp;" Index","LAST_PRICE")</f>
        <v>#N/A Real Time</v>
      </c>
      <c r="T144" s="52" cm="1">
        <f t="array" ref="T144">_xll.BDP(B144&amp;" Index","OPT_STRIKE_PX")</f>
        <v>2425</v>
      </c>
      <c r="U144" s="39" t="e">
        <f>T144/S144-1</f>
        <v>#VALUE!</v>
      </c>
      <c r="V144" s="36" t="str" cm="1">
        <f t="array" ref="V144">_xll.BDP($B144&amp;" Index","ivol_mid")</f>
        <v>#N/A Field Not Applicable</v>
      </c>
      <c r="W144" s="37" t="str" cm="1">
        <f t="array" ref="W144">_xll.BDP(B144&amp;" Index","DELTA_MID_RT")</f>
        <v>#N/A Real Time</v>
      </c>
      <c r="X144" s="47" t="e">
        <f>Y144/'Master P&amp;L'!$AE$5</f>
        <v>#VALUE!</v>
      </c>
      <c r="Y144" s="15" t="e">
        <f>IF(G144="Sell", S144*W144*-H144*O144/N144, S144*W144*H144*O144/N144)</f>
        <v>#VALUE!</v>
      </c>
      <c r="Z144" s="15" t="e" cm="1">
        <f t="array" ref="Z144">_xll.BDP($B144&amp;" Index","opt_theta")*H144*O144/N144</f>
        <v>#VALUE!</v>
      </c>
      <c r="AA144" s="125" t="e" cm="1">
        <f t="array" ref="AA144">_xll.BDP($B144&amp;" Index","opt_theta")/I144</f>
        <v>#VALUE!</v>
      </c>
      <c r="AB144" s="35" t="str" cm="1">
        <f t="array" ref="AB144">_xll.BDP($C144&amp;" Index","EXPECTED_REPORT_DT")</f>
        <v>#N/A Field Not Applicable</v>
      </c>
      <c r="AC144" s="15" t="e">
        <f>S144*H144*O144/N144</f>
        <v>#VALUE!</v>
      </c>
      <c r="AD144" s="47" t="e">
        <f>AC144/'Master P&amp;L'!$AE$5</f>
        <v>#VALUE!</v>
      </c>
      <c r="AG144" t="str">
        <f>B144&amp;" -&gt; Buy to open "&amp;H144&amp;"x"</f>
        <v>RTYWU5C3 2425 -&gt; Buy to open 175x</v>
      </c>
    </row>
    <row r="145" spans="1:33">
      <c r="A145" s="97" t="s">
        <v>256</v>
      </c>
      <c r="B145" s="315" t="s">
        <v>1899</v>
      </c>
      <c r="C145" t="str" cm="1">
        <f t="array" ref="C145">_xll.BDP(B145&amp;" Index","OPT_UNDL_TICKER")</f>
        <v>RUWZ5</v>
      </c>
      <c r="D145" t="str" cm="1">
        <f t="array" ref="D145">_xll.BDP($B145&amp;" Index","mifid_Maturity_date")</f>
        <v>19/09/2025</v>
      </c>
      <c r="E145" cm="1">
        <f t="array" ref="E145">_xll.BDP($B145&amp;" Index","opt_days_expire")</f>
        <v>-137</v>
      </c>
      <c r="F145" t="str" cm="1">
        <f t="array" ref="F145">_xll.BDP(B145&amp;" Index","QUOTED_CURRENCY_REALTIME")</f>
        <v>#N/A Real Time</v>
      </c>
      <c r="G145" s="104" t="s">
        <v>248</v>
      </c>
      <c r="H145" s="95">
        <f>H144</f>
        <v>175</v>
      </c>
      <c r="I145" s="96" t="str">
        <f>IF(G145="Buy",L145,K145)</f>
        <v>#N/A Real Time</v>
      </c>
      <c r="J145" s="18" t="e">
        <f>I145/S145</f>
        <v>#VALUE!</v>
      </c>
      <c r="K145" s="35" t="str" cm="1">
        <f t="array" ref="K145">_xll.BDP($B145&amp;" Index","bid")</f>
        <v>#N/A Real Time</v>
      </c>
      <c r="L145" s="35" t="str" cm="1">
        <f t="array" ref="L145">_xll.BDP($B145&amp;" Index","ask")</f>
        <v>#N/A Real Time</v>
      </c>
      <c r="M145" s="39" t="e">
        <f>(L145/K145-1)</f>
        <v>#VALUE!</v>
      </c>
      <c r="N145" s="35" t="str">
        <f>_xll.BDP(F145&amp;" Curncy","PX_LAST")</f>
        <v>#N/A Real Time Curncy</v>
      </c>
      <c r="O145" s="161">
        <v>50</v>
      </c>
      <c r="P145" s="15" t="e">
        <f>IF(G145="Buy",((I145/N145)*H145*O145),((I145/N145)*-H145*O145))</f>
        <v>#VALUE!</v>
      </c>
      <c r="Q145" s="57" t="e">
        <f>P145/'Master P&amp;L'!$AD$5*10000</f>
        <v>#VALUE!</v>
      </c>
      <c r="R145" s="36" t="e" cm="1">
        <f t="array" ref="R145">_xll.BDP($C145&amp;" Index","EST_PE_NXT_YR")*(T145/S145)</f>
        <v>#VALUE!</v>
      </c>
      <c r="S145" s="35" t="str" cm="1">
        <f t="array" ref="S145">_xll.BDP(C145&amp;" Index","LAST_PRICE")</f>
        <v>#N/A Real Time</v>
      </c>
      <c r="T145" s="52" cm="1">
        <f t="array" ref="T145">_xll.BDP(B145&amp;" Index","OPT_STRIKE_PX")</f>
        <v>2500</v>
      </c>
      <c r="U145" s="39" t="e">
        <f>T145/S145-1</f>
        <v>#VALUE!</v>
      </c>
      <c r="V145" s="36" t="str" cm="1">
        <f t="array" ref="V145">_xll.BDP($B145&amp;" Index","ivol_mid")</f>
        <v>#N/A Field Not Applicable</v>
      </c>
      <c r="W145" s="37" t="str" cm="1">
        <f t="array" ref="W145">_xll.BDP(B145&amp;" Index","DELTA_MID_RT")</f>
        <v>#N/A Real Time</v>
      </c>
      <c r="X145" s="47" t="e">
        <f>Y145/'Master P&amp;L'!$AE$5</f>
        <v>#VALUE!</v>
      </c>
      <c r="Y145" s="15" t="e">
        <f>IF(G145="Sell", S145*W145*-H145*O145/N145, S145*W145*H145*O145/N145)</f>
        <v>#VALUE!</v>
      </c>
      <c r="Z145" s="15" t="e" cm="1">
        <f t="array" ref="Z145">_xll.BDP($B145&amp;" Index","opt_theta")*H145*O145/N145</f>
        <v>#VALUE!</v>
      </c>
      <c r="AA145" s="125" t="e" cm="1">
        <f t="array" ref="AA145">_xll.BDP($B145&amp;" Index","opt_theta")/I145</f>
        <v>#VALUE!</v>
      </c>
      <c r="AB145" s="35" t="str" cm="1">
        <f t="array" ref="AB145">_xll.BDP($C145&amp;" Index","EXPECTED_REPORT_DT")</f>
        <v>#N/A Field Not Applicable</v>
      </c>
      <c r="AC145" s="15" t="e">
        <f>S145*H145*O145/N145</f>
        <v>#VALUE!</v>
      </c>
      <c r="AD145" s="47" t="e">
        <f>AC145/'Master P&amp;L'!$AE$5</f>
        <v>#VALUE!</v>
      </c>
      <c r="AG145" t="str">
        <f>B145&amp;" -&gt; Buy to open "&amp;H145&amp;"x"</f>
        <v>RTYWU5C3 2500 -&gt; Buy to open 175x</v>
      </c>
    </row>
    <row r="146" spans="1:33">
      <c r="H146" s="99" t="s">
        <v>116</v>
      </c>
      <c r="I146" s="101" t="e">
        <f>I144-I145</f>
        <v>#VALUE!</v>
      </c>
      <c r="J146" s="99" t="s">
        <v>249</v>
      </c>
      <c r="K146" s="100" t="e">
        <f>K145/L144</f>
        <v>#VALUE!</v>
      </c>
      <c r="P146" s="99" t="s">
        <v>250</v>
      </c>
      <c r="Q146" s="107" t="e">
        <f>Q144+Q145</f>
        <v>#VALUE!</v>
      </c>
      <c r="S146" s="99" t="s">
        <v>251</v>
      </c>
      <c r="T146" s="101">
        <f>T145-T144</f>
        <v>75</v>
      </c>
      <c r="W146" s="99" t="s">
        <v>252</v>
      </c>
      <c r="X146" s="121" t="e">
        <f>X144+X145</f>
        <v>#VALUE!</v>
      </c>
      <c r="AC146" s="99" t="s">
        <v>229</v>
      </c>
      <c r="AD146" s="121" t="e">
        <f>AD144</f>
        <v>#VALUE!</v>
      </c>
    </row>
    <row r="147" spans="1:33">
      <c r="H147" s="99" t="s">
        <v>253</v>
      </c>
      <c r="I147" s="101" t="e">
        <f>(T146-I146)/I146</f>
        <v>#VALUE!</v>
      </c>
      <c r="J147" s="99" t="s">
        <v>145</v>
      </c>
      <c r="K147" s="108" t="e">
        <f>AVERAGE(K144:L144)-AVERAGE(K145:L145)</f>
        <v>#DIV/0!</v>
      </c>
      <c r="P147" s="99"/>
      <c r="Q147" s="107"/>
      <c r="S147" s="99"/>
      <c r="T147" s="101"/>
      <c r="W147" s="99"/>
      <c r="X147" s="121"/>
      <c r="Y147" s="270" t="e">
        <f>(Y144+Y145)/S144/O144</f>
        <v>#VALUE!</v>
      </c>
      <c r="AC147" s="99"/>
      <c r="AD147" s="103"/>
    </row>
    <row r="148" spans="1:33">
      <c r="K148" s="63" t="e">
        <f>K144-K145</f>
        <v>#VALUE!</v>
      </c>
      <c r="L148" s="63" t="e">
        <f>L144-L145</f>
        <v>#VALUE!</v>
      </c>
      <c r="Q148" s="49" t="e">
        <f>Q139+Q146</f>
        <v>#VALUE!</v>
      </c>
    </row>
    <row r="149" spans="1:33">
      <c r="K149" s="63" t="e">
        <f>K141-K148</f>
        <v>#VALUE!</v>
      </c>
      <c r="L149" s="63" t="e">
        <f>L141-L148</f>
        <v>#VALUE!</v>
      </c>
    </row>
    <row r="152" spans="1:33">
      <c r="H152" s="331">
        <v>20</v>
      </c>
      <c r="I152" s="331">
        <v>237.5</v>
      </c>
      <c r="Z152">
        <f>Z153/P153</f>
        <v>0.10210701583434835</v>
      </c>
    </row>
    <row r="153" spans="1:33">
      <c r="A153" s="97"/>
      <c r="B153" s="315" t="s">
        <v>2469</v>
      </c>
      <c r="C153" t="str" cm="1">
        <f t="array" ref="C153">_xll.BDP(B153&amp;" Index","OPT_UNDL_TICKER")</f>
        <v>1OH6</v>
      </c>
      <c r="D153" t="str" cm="1">
        <f t="array" ref="D153">_xll.BDP($B153&amp;" Index","mifid_Maturity_date")</f>
        <v>06/02/2026</v>
      </c>
      <c r="E153" cm="1">
        <f t="array" ref="E153">_xll.BDP($B153&amp;" Index","opt_days_expire")</f>
        <v>3</v>
      </c>
      <c r="F153" t="str" cm="1">
        <f t="array" ref="F153">_xll.BDP(B153&amp;" Index","QUOTED_CURRENCY_REALTIME")</f>
        <v>USD</v>
      </c>
      <c r="G153" s="104" t="s">
        <v>248</v>
      </c>
      <c r="H153" s="95">
        <v>20</v>
      </c>
      <c r="I153" s="96">
        <f>IF(G153="Buy",L153,K153)</f>
        <v>410.5</v>
      </c>
      <c r="J153" s="18">
        <f>I153/S153</f>
        <v>1.6149654778999548E-2</v>
      </c>
      <c r="K153" s="35" cm="1">
        <f t="array" ref="K153">_xll.BDP($B153&amp;" Index","bid")</f>
        <v>410.5</v>
      </c>
      <c r="L153" s="35" cm="1">
        <f t="array" ref="L153">_xll.BDP($B153&amp;" Index","ask")</f>
        <v>421</v>
      </c>
      <c r="M153" s="39">
        <f>(L153/K153-1)</f>
        <v>2.5578562728379994E-2</v>
      </c>
      <c r="N153" s="35" cm="1">
        <f t="array" ref="N153">_xll.BDP(F153&amp;" Curncy","PX_LAST")</f>
        <v>1</v>
      </c>
      <c r="O153" s="161">
        <v>20</v>
      </c>
      <c r="P153" s="15">
        <f>IF(G153="Buy",((I153/N153)*H153*O153),((I153/N153)*-H153*O153))</f>
        <v>-164200</v>
      </c>
      <c r="Q153" s="57">
        <f>P153/'Master P&amp;L'!$AD$5*10000</f>
        <v>-0.73106605653407364</v>
      </c>
      <c r="R153" s="36" t="e" cm="1">
        <f t="array" ref="R153">_xll.BDP($C153&amp;" Index","EST_PE_NXT_YR")*(T153/S153)</f>
        <v>#VALUE!</v>
      </c>
      <c r="S153" s="35" cm="1">
        <f t="array" ref="S153">_xll.BDP(C153&amp;" Index","LAST_PRICE")</f>
        <v>25418.5</v>
      </c>
      <c r="T153" s="52" cm="1">
        <f t="array" ref="T153">_xll.BDP(B153&amp;" Index","OPT_STRIKE_PX")</f>
        <v>25750</v>
      </c>
      <c r="U153" s="39">
        <f>T153/S153-1</f>
        <v>1.304168223931379E-2</v>
      </c>
      <c r="V153" s="36" cm="1">
        <f t="array" ref="V153">_xll.BDP($B153&amp;" Index","ivol_mid")</f>
        <v>26.791891</v>
      </c>
      <c r="W153" s="37" cm="1">
        <f t="array" ref="W153">_xll.BDP(B153&amp;" Index","DELTA_MID_RT")</f>
        <v>-0.73475784063339233</v>
      </c>
      <c r="X153" s="47">
        <f>Y153/'Master P&amp;L'!$AE$5</f>
        <v>3.3261176440616256E-3</v>
      </c>
      <c r="Y153" s="15">
        <f>IF(G153="Sell", S153*W153*-H153*O153/N153, S153*W153*H153*O153/N153)</f>
        <v>7470576.8688559532</v>
      </c>
      <c r="Z153" s="15" cm="1">
        <f t="array" ref="Z153">_xll.BDP($B153&amp;" Index","opt_theta")*H153*O153/N153</f>
        <v>-16765.971999999998</v>
      </c>
      <c r="AA153" s="125" cm="1">
        <f t="array" ref="AA153">_xll.BDP($B153&amp;" Index","opt_theta")/I153</f>
        <v>-0.10210701583434835</v>
      </c>
      <c r="AB153" s="35" t="str" cm="1">
        <f t="array" ref="AB153">_xll.BDP($C153&amp;" Index","EXPECTED_REPORT_DT")</f>
        <v>#N/A Field Not Applicable</v>
      </c>
      <c r="AC153" s="15">
        <f>S153*H153*O153/N153</f>
        <v>10167400</v>
      </c>
      <c r="AD153" s="47">
        <f>AC153/'Master P&amp;L'!$AE$5</f>
        <v>4.5268215732061756E-3</v>
      </c>
      <c r="AG153" t="str">
        <f>B153&amp;" -&gt; Buy to open "&amp;H153&amp;"x"</f>
        <v>1OG6P 25750 -&gt; Buy to open 20x</v>
      </c>
    </row>
    <row r="154" spans="1:33">
      <c r="A154" s="97"/>
      <c r="B154" s="315" t="s">
        <v>2485</v>
      </c>
      <c r="C154" t="str" cm="1">
        <f t="array" ref="C154">_xll.BDP(B154&amp;" Index","OPT_UNDL_TICKER")</f>
        <v>2OH6</v>
      </c>
      <c r="D154" t="str" cm="1">
        <f t="array" ref="D154">_xll.BDP($B154&amp;" Index","mifid_Maturity_date")</f>
        <v>13/02/2026</v>
      </c>
      <c r="E154" cm="1">
        <f t="array" ref="E154">_xll.BDP($B154&amp;" Index","opt_days_expire")</f>
        <v>10</v>
      </c>
      <c r="F154" t="str" cm="1">
        <f t="array" ref="F154">_xll.BDP(B154&amp;" Index","QUOTED_CURRENCY_REALTIME")</f>
        <v>USD</v>
      </c>
      <c r="G154" s="104" t="s">
        <v>247</v>
      </c>
      <c r="H154" s="95">
        <v>35</v>
      </c>
      <c r="I154" s="96">
        <f>IF(G154="Buy",L154,K154)</f>
        <v>232.5</v>
      </c>
      <c r="J154" s="18">
        <f>I154/S154</f>
        <v>9.1473310448612656E-3</v>
      </c>
      <c r="K154" s="35" cm="1">
        <f t="array" ref="K154">_xll.BDP($B154&amp;" Index","bid")</f>
        <v>227.5</v>
      </c>
      <c r="L154" s="35" cm="1">
        <f t="array" ref="L154">_xll.BDP($B154&amp;" Index","ask")</f>
        <v>232.5</v>
      </c>
      <c r="M154" s="39">
        <f>(L154/K154-1)</f>
        <v>2.19780219780219E-2</v>
      </c>
      <c r="N154" s="35" cm="1">
        <f t="array" ref="N154">_xll.BDP(F154&amp;" Curncy","PX_LAST")</f>
        <v>1</v>
      </c>
      <c r="O154" s="161">
        <v>20</v>
      </c>
      <c r="P154" s="15">
        <f>IF(G154="Buy",((I154/N154)*H154*O154),((I154/N154)*-H154*O154))</f>
        <v>162750</v>
      </c>
      <c r="Q154" s="57">
        <f>P154/'Master P&amp;L'!$AD$5*10000</f>
        <v>0.72461023569379113</v>
      </c>
      <c r="R154" s="36" t="e" cm="1">
        <f t="array" ref="R154">_xll.BDP($C154&amp;" Index","EST_PE_NXT_YR")*(T154/S154)</f>
        <v>#VALUE!</v>
      </c>
      <c r="S154" s="35" cm="1">
        <f t="array" ref="S154">_xll.BDP(C154&amp;" Index","LAST_PRICE")</f>
        <v>25417.25</v>
      </c>
      <c r="T154" s="52" cm="1">
        <f t="array" ref="T154">_xll.BDP(B154&amp;" Index","OPT_STRIKE_PX")</f>
        <v>25000</v>
      </c>
      <c r="U154" s="39">
        <f>T154/S154-1</f>
        <v>-1.6416016681584322E-2</v>
      </c>
      <c r="V154" s="36" cm="1">
        <f t="array" ref="V154">_xll.BDP($B154&amp;" Index","ivol_mid")</f>
        <v>25.301611000000001</v>
      </c>
      <c r="W154" s="37" cm="1">
        <f t="array" ref="W154">_xll.BDP(B154&amp;" Index","DELTA_MID_RT")</f>
        <v>-0.33273279666900635</v>
      </c>
      <c r="X154" s="47">
        <f>Y154/'Master P&amp;L'!$AE$5</f>
        <v>-2.6357588791194736E-3</v>
      </c>
      <c r="Y154" s="15">
        <f>IF(G154="Sell", S154*W154*-H154*O154/N154, S154*W154*H154*O154/N154)</f>
        <v>-5920006.8732947111</v>
      </c>
      <c r="Z154" s="15" cm="1">
        <f t="array" ref="Z154">_xll.BDP($B154&amp;" Index","opt_theta")*H154*O154/N154</f>
        <v>-14249.0075</v>
      </c>
      <c r="AA154" s="125" cm="1">
        <f t="array" ref="AA154">_xll.BDP($B154&amp;" Index","opt_theta")/I154</f>
        <v>-8.7551505376344083E-2</v>
      </c>
      <c r="AB154" s="35" t="str" cm="1">
        <f t="array" ref="AB154">_xll.BDP($C154&amp;" Index","EXPECTED_REPORT_DT")</f>
        <v>#N/A Field Not Applicable</v>
      </c>
      <c r="AC154" s="15">
        <f>S154*H154*O154/N154</f>
        <v>17792075</v>
      </c>
      <c r="AD154" s="47">
        <f>AC154/'Master P&amp;L'!$AE$5</f>
        <v>7.9215481777152735E-3</v>
      </c>
      <c r="AG154" t="str">
        <f>B154&amp;" -&gt; Buy to open "&amp;H154&amp;"x"</f>
        <v>2OG6P 25000 -&gt; Buy to open 35x</v>
      </c>
    </row>
    <row r="155" spans="1:33">
      <c r="H155" s="99" t="s">
        <v>116</v>
      </c>
      <c r="I155" s="101">
        <f>I153-I154</f>
        <v>178</v>
      </c>
      <c r="J155" s="99" t="s">
        <v>249</v>
      </c>
      <c r="K155" s="100">
        <f>K154/L153</f>
        <v>0.54038004750593827</v>
      </c>
      <c r="O155" s="163"/>
      <c r="P155" s="99" t="s">
        <v>250</v>
      </c>
      <c r="Q155" s="107">
        <f>Q153+Q154</f>
        <v>-6.4558208402825112E-3</v>
      </c>
      <c r="S155" s="99" t="s">
        <v>251</v>
      </c>
      <c r="T155" s="101">
        <f>T154-T153</f>
        <v>-750</v>
      </c>
      <c r="W155" s="99" t="s">
        <v>252</v>
      </c>
      <c r="X155" s="121">
        <f>X153+X154</f>
        <v>6.9035876494215201E-4</v>
      </c>
      <c r="Y155" s="13">
        <f>Y153+Y154</f>
        <v>1550569.9955612421</v>
      </c>
      <c r="AC155" s="99" t="s">
        <v>229</v>
      </c>
      <c r="AD155" s="121">
        <f>AD153</f>
        <v>4.5268215732061756E-3</v>
      </c>
    </row>
    <row r="156" spans="1:33">
      <c r="H156" s="99" t="s">
        <v>253</v>
      </c>
      <c r="I156" s="101">
        <f>(T155-I155)/I155</f>
        <v>-5.213483146067416</v>
      </c>
      <c r="J156" s="99" t="s">
        <v>145</v>
      </c>
      <c r="K156" s="108">
        <f>AVERAGE(K153:L153)-AVERAGE(K154:L154)</f>
        <v>185.75</v>
      </c>
      <c r="O156" s="163"/>
      <c r="P156" s="99"/>
      <c r="Q156" s="107"/>
      <c r="S156" s="99"/>
      <c r="T156" s="101"/>
      <c r="W156" s="99"/>
      <c r="X156" s="121"/>
      <c r="Y156" s="13">
        <f>Y155/S153/20</f>
        <v>3.0500816247245943</v>
      </c>
      <c r="AC156" s="99"/>
      <c r="AD156" s="103"/>
    </row>
    <row r="157" spans="1:33">
      <c r="K157" s="63">
        <f>K153-K154</f>
        <v>183</v>
      </c>
      <c r="L157" s="63">
        <f>L153-L154</f>
        <v>188.5</v>
      </c>
      <c r="W157" s="49"/>
    </row>
    <row r="159" spans="1:33">
      <c r="H159" s="95"/>
      <c r="I159" s="96"/>
      <c r="J159" s="18"/>
      <c r="K159" s="35"/>
      <c r="L159" s="35"/>
      <c r="M159" s="39"/>
      <c r="N159" s="35"/>
      <c r="O159" s="161"/>
      <c r="P159" s="15"/>
      <c r="Q159" s="57"/>
      <c r="R159" s="36"/>
      <c r="S159" s="35"/>
      <c r="T159" s="52"/>
      <c r="U159" s="39"/>
      <c r="V159" s="36"/>
      <c r="W159" s="37"/>
      <c r="X159" s="47"/>
      <c r="Y159" s="15"/>
      <c r="Z159" s="15"/>
      <c r="AA159" s="125"/>
      <c r="AB159" s="35"/>
      <c r="AC159" s="15"/>
      <c r="AD159" s="47"/>
    </row>
    <row r="160" spans="1:33" hidden="1">
      <c r="A160" s="97"/>
      <c r="B160" s="378" t="s">
        <v>2125</v>
      </c>
      <c r="C160" t="str" cm="1">
        <f t="array" ref="C160">_xll.BDP(B160&amp;" Index","OPT_UNDL_TICKER")</f>
        <v>SPX</v>
      </c>
      <c r="D160" t="str" cm="1">
        <f t="array" ref="D160">_xll.BDP($B160&amp;" Index","mifid_Maturity_date")</f>
        <v>31/12/2025</v>
      </c>
      <c r="E160" t="str" cm="1">
        <f t="array" ref="E160">_xll.BDP($B160&amp;" Index","opt_days_expire")</f>
        <v>#N/A N/A</v>
      </c>
      <c r="F160" t="s">
        <v>194</v>
      </c>
      <c r="G160" s="104" t="s">
        <v>247</v>
      </c>
      <c r="H160" s="95">
        <v>100</v>
      </c>
      <c r="I160" s="96" t="str">
        <f>IF(G160="Buy",L160,K160)</f>
        <v>#N/A Real Time</v>
      </c>
      <c r="J160" s="18" t="e">
        <f>I160/S160</f>
        <v>#VALUE!</v>
      </c>
      <c r="K160" s="35" t="str" cm="1">
        <f t="array" ref="K160">_xll.BDP($B160&amp;" Index","bid")</f>
        <v>#N/A Real Time</v>
      </c>
      <c r="L160" s="35" t="str" cm="1">
        <f t="array" ref="L160">_xll.BDP($B160&amp;" Index","ask")</f>
        <v>#N/A Real Time</v>
      </c>
      <c r="M160" s="39" t="e">
        <f>(L160/K160-1)</f>
        <v>#VALUE!</v>
      </c>
      <c r="N160" s="35" cm="1">
        <f t="array" ref="N160">_xll.BDP(F160&amp;" Curncy","PX_LAST")</f>
        <v>1</v>
      </c>
      <c r="O160" s="161">
        <v>100</v>
      </c>
      <c r="P160" s="15" t="e">
        <f>IF(G160="Buy",((I160/N160)*H160*O160),((I160/N160)*-H160*O160))</f>
        <v>#VALUE!</v>
      </c>
      <c r="Q160" s="57" t="e">
        <f>P160/'Master P&amp;L'!$AD$5*10000</f>
        <v>#VALUE!</v>
      </c>
      <c r="R160" s="36" t="e" cm="1">
        <f t="array" ref="R160">_xll.BDP($C160&amp;" Index","EST_PE_NXT_YR")*(T160/S160)</f>
        <v>#VALUE!</v>
      </c>
      <c r="S160" s="35" cm="1">
        <f t="array" ref="S160">_xll.BDP(C160&amp;" Index","LAST_PRICE")</f>
        <v>6917.81</v>
      </c>
      <c r="T160" s="52" cm="1">
        <f t="array" ref="T160">_xll.BDP(B160&amp;" Index","OPT_STRIKE_PX")</f>
        <v>6950</v>
      </c>
      <c r="U160" s="39">
        <f>T160/S160-1</f>
        <v>4.6532067229367868E-3</v>
      </c>
      <c r="V160" s="36" t="str" cm="1">
        <f t="array" ref="V160">_xll.BDP($B160&amp;" Index","ivol_mid")</f>
        <v>#N/A N/A</v>
      </c>
      <c r="W160" s="37" t="str" cm="1">
        <f t="array" ref="W160">_xll.BDP(B160&amp;" Index","DELTA_MID_RT")</f>
        <v>#N/A Real Time</v>
      </c>
      <c r="X160" s="47" t="e">
        <f>Y160/'Master P&amp;L'!$AE$5</f>
        <v>#VALUE!</v>
      </c>
      <c r="Y160" s="15" t="e">
        <f>IF(G160="Sell", S160*W160*-H160*O160/N160, S160*W160*H160*O160/N160)</f>
        <v>#VALUE!</v>
      </c>
      <c r="Z160" s="15" t="e" cm="1">
        <f t="array" ref="Z160">_xll.BDP($B160&amp;" Index","opt_theta")*H160*O160/N160</f>
        <v>#VALUE!</v>
      </c>
      <c r="AA160" s="125" t="e" cm="1">
        <f t="array" ref="AA160">_xll.BDP($B160&amp;" Index","opt_theta")/I160</f>
        <v>#VALUE!</v>
      </c>
      <c r="AB160" s="35" t="str" cm="1">
        <f t="array" ref="AB160">_xll.BDP($C160&amp;" Index","EXPECTED_REPORT_DT")</f>
        <v>#N/A Field Not Applicable</v>
      </c>
      <c r="AC160" s="15">
        <f>S160*H160*O160/N160</f>
        <v>69178100</v>
      </c>
      <c r="AD160" s="47">
        <f>AC160/'Master P&amp;L'!$AE$5</f>
        <v>3.0800097908355542E-2</v>
      </c>
      <c r="AG160" t="str">
        <f>B160&amp;" -&gt; Buy to open "&amp;H160&amp;"x"</f>
        <v>SPXW US 12/31/25 C6950 -&gt; Buy to open 100x</v>
      </c>
    </row>
    <row r="161" spans="1:37" hidden="1">
      <c r="A161" s="97"/>
      <c r="B161" s="378"/>
      <c r="G161" s="104"/>
      <c r="H161" s="95"/>
      <c r="I161" s="96"/>
      <c r="J161" s="18"/>
      <c r="K161" s="35"/>
      <c r="L161" s="35"/>
      <c r="M161" s="39"/>
      <c r="N161" s="35"/>
      <c r="O161" s="161"/>
      <c r="P161" s="15"/>
      <c r="Q161" s="57"/>
      <c r="R161" s="36"/>
      <c r="S161" s="35"/>
      <c r="T161" s="52"/>
      <c r="U161" s="39"/>
      <c r="V161" s="36"/>
      <c r="W161" s="37"/>
      <c r="X161" s="47"/>
      <c r="Y161" s="15"/>
      <c r="Z161" s="15"/>
      <c r="AA161" s="125"/>
      <c r="AB161" s="35"/>
      <c r="AC161" s="15"/>
      <c r="AD161" s="47"/>
    </row>
    <row r="162" spans="1:37" hidden="1">
      <c r="H162" s="99" t="s">
        <v>116</v>
      </c>
      <c r="I162" s="101" t="e">
        <f>I160-I161</f>
        <v>#VALUE!</v>
      </c>
      <c r="J162" s="99" t="s">
        <v>249</v>
      </c>
      <c r="K162" s="100" t="e">
        <f>K161/L160</f>
        <v>#VALUE!</v>
      </c>
      <c r="O162" s="163"/>
      <c r="P162" s="99" t="s">
        <v>250</v>
      </c>
      <c r="Q162" s="107" t="e">
        <f>Q160+Q161</f>
        <v>#VALUE!</v>
      </c>
      <c r="S162" s="99" t="s">
        <v>251</v>
      </c>
      <c r="T162" s="101">
        <f>T161-T160</f>
        <v>-6950</v>
      </c>
      <c r="W162" s="99" t="s">
        <v>252</v>
      </c>
      <c r="X162" s="121" t="e">
        <f>X160+X161</f>
        <v>#VALUE!</v>
      </c>
      <c r="Y162" s="13" t="e">
        <f>Y160+Y161</f>
        <v>#VALUE!</v>
      </c>
      <c r="AC162" s="99" t="s">
        <v>229</v>
      </c>
      <c r="AD162" s="121">
        <f>AD160</f>
        <v>3.0800097908355542E-2</v>
      </c>
    </row>
    <row r="163" spans="1:37" hidden="1">
      <c r="H163" s="99" t="s">
        <v>253</v>
      </c>
      <c r="I163" s="101" t="e">
        <f>(T162-I162)/I162</f>
        <v>#VALUE!</v>
      </c>
      <c r="J163" s="99" t="s">
        <v>145</v>
      </c>
      <c r="K163" s="108" t="e">
        <f>AVERAGE(K160:L160)-AVERAGE(K161:L161)</f>
        <v>#DIV/0!</v>
      </c>
      <c r="O163" s="163"/>
      <c r="P163" s="99"/>
      <c r="Q163" s="107"/>
      <c r="S163" s="99"/>
      <c r="T163" s="101"/>
      <c r="W163" s="99"/>
      <c r="X163" s="121"/>
      <c r="Y163" s="13" t="e">
        <f>Y162/S160</f>
        <v>#VALUE!</v>
      </c>
      <c r="AC163" s="99"/>
      <c r="AD163" s="103"/>
    </row>
    <row r="164" spans="1:37" hidden="1">
      <c r="K164" s="63" t="e">
        <f>K160-K161</f>
        <v>#VALUE!</v>
      </c>
      <c r="L164" s="63" t="e">
        <f>L160-L161</f>
        <v>#VALUE!</v>
      </c>
    </row>
    <row r="165" spans="1:37" hidden="1">
      <c r="Q165" t="e">
        <f>Q162/Q155</f>
        <v>#VALUE!</v>
      </c>
    </row>
    <row r="166" spans="1:37" hidden="1">
      <c r="H166" s="17"/>
      <c r="K166" s="63" t="e">
        <f>K157-K164</f>
        <v>#VALUE!</v>
      </c>
      <c r="L166" s="63" t="e">
        <f>L157-L164</f>
        <v>#VALUE!</v>
      </c>
    </row>
    <row r="167" spans="1:37" hidden="1">
      <c r="I167" s="63">
        <f>I170-I171</f>
        <v>14.25</v>
      </c>
    </row>
    <row r="168" spans="1:37" hidden="1">
      <c r="A168">
        <v>300</v>
      </c>
      <c r="H168" s="270">
        <v>1</v>
      </c>
      <c r="I168" s="63">
        <f>I170-I171</f>
        <v>14.25</v>
      </c>
      <c r="K168" s="128"/>
    </row>
    <row r="169" spans="1:37" hidden="1">
      <c r="A169" s="232">
        <v>1</v>
      </c>
      <c r="B169" t="s">
        <v>2068</v>
      </c>
      <c r="C169" t="str" cm="1">
        <f t="array" ref="C169">_xll.BDP(B169&amp;" Equity","OPT_UNDL_TICKER")</f>
        <v>META US</v>
      </c>
      <c r="D169" s="63">
        <f>A169*AVERAGE(K169:L169)</f>
        <v>40.375</v>
      </c>
      <c r="E169" cm="1">
        <f t="array" ref="E169">_xll.BDP($B169&amp;" Index","opt_days_expire")</f>
        <v>73</v>
      </c>
      <c r="F169" t="str" cm="1">
        <f t="array" ref="F169">_xll.BDP(B169&amp;" Equity","QUOTED_CURRENCY_REALTIME")</f>
        <v>USD</v>
      </c>
      <c r="G169" s="104" t="s">
        <v>247</v>
      </c>
      <c r="H169" s="130">
        <v>60</v>
      </c>
      <c r="I169" s="96">
        <f>IF(G169="Buy",L169,K169)</f>
        <v>40.5</v>
      </c>
      <c r="J169" s="18">
        <f>I169/S169</f>
        <v>5.8551395113488502E-2</v>
      </c>
      <c r="K169" s="35" cm="1">
        <f t="array" ref="K169">_xll.BDP($B169&amp;" Equity","bid")</f>
        <v>40.25</v>
      </c>
      <c r="L169" s="35" cm="1">
        <f t="array" ref="L169">_xll.BDP($B169&amp;" Equity","ask")</f>
        <v>40.5</v>
      </c>
      <c r="M169" s="39">
        <f>(L169/K169-1)</f>
        <v>6.2111801242235032E-3</v>
      </c>
      <c r="N169" s="35" cm="1">
        <f t="array" ref="N169">_xll.BDP(F169&amp;" Curncy","PX_LAST")</f>
        <v>1</v>
      </c>
      <c r="O169" s="161" cm="1">
        <f t="array" ref="O169">_xll.BDP(B169&amp;" Equity","OPT_MULTIPLIER")</f>
        <v>100</v>
      </c>
      <c r="P169" s="15">
        <f>IF(G169="Buy",((I169/N169)*H169*O169),((I169/N169)*-H169*O169))</f>
        <v>243000</v>
      </c>
      <c r="Q169" s="57">
        <f>P169/'Master P&amp;L'!$AD$5*10000</f>
        <v>1.0819065270266741</v>
      </c>
      <c r="R169" s="36" cm="1">
        <f t="array" ref="R169">_xll.BDP($C169&amp;" Equity","EST_PE_NXT_YR")*(T169/S169)</f>
        <v>18.313050129941093</v>
      </c>
      <c r="S169" s="35" cm="1">
        <f t="array" ref="S169">_xll.BDP(C169&amp;" Equity","LAST_PRICE")</f>
        <v>691.7</v>
      </c>
      <c r="T169" s="52" cm="1">
        <f t="array" ref="T169">_xll.BDP(B169&amp;" Equity","OPT_STRIKE_PX")</f>
        <v>690</v>
      </c>
      <c r="U169" s="39">
        <f>T169/S169-1</f>
        <v>-2.4577128813070281E-3</v>
      </c>
      <c r="V169" s="36" cm="1">
        <f t="array" ref="V169">_xll.BDP($B169&amp;" Equity","ivol_mid")</f>
        <v>30.017050000000001</v>
      </c>
      <c r="W169" s="37" cm="1">
        <f t="array" ref="W169">_xll.BDP(B169&amp;" Equity","DELTA_MID_RT")</f>
        <v>0.55555689334869385</v>
      </c>
      <c r="X169" s="47">
        <f>Y169/'Master P&amp;L'!$AE$5</f>
        <v>1.0265521904022868E-3</v>
      </c>
      <c r="Y169" s="15">
        <f>IF(G169="Sell", S169*W169*-H169*O169/N169, S169*W169*H169*O169/N169)</f>
        <v>2305672.2187757492</v>
      </c>
      <c r="Z169" s="15" cm="1">
        <f t="array" ref="Z169">_xll.BDP($B169&amp;" Equity","opt_theta")*H169*O169/N169</f>
        <v>-1490.0640000000001</v>
      </c>
      <c r="AA169" s="18" cm="1">
        <f t="array" ref="AA169">_xll.BDP($B169&amp;" Equity","opt_theta")/I169</f>
        <v>-6.1319506172839511E-3</v>
      </c>
      <c r="AB169" s="35" t="str" cm="1">
        <f t="array" ref="AB169">_xll.BDP($C169&amp;" Equity","EXPECTED_REPORT_DT")</f>
        <v>30/04/2026</v>
      </c>
      <c r="AC169" s="15">
        <f>S169*H169*O169/N169</f>
        <v>4150200</v>
      </c>
      <c r="AD169" s="18">
        <f>AC169/'Master P&amp;L'!$AE$5</f>
        <v>1.8477894931959273E-3</v>
      </c>
      <c r="AE169" t="str">
        <f>B169  &amp; " - Buy to open " &amp;  "-" &amp; H169 &amp;"x"</f>
        <v>META US 04/17/26 C690 - Buy to open -60x</v>
      </c>
      <c r="AK169" s="58" t="s">
        <v>273</v>
      </c>
    </row>
    <row r="170" spans="1:37" hidden="1">
      <c r="A170" s="232">
        <v>2</v>
      </c>
      <c r="B170" s="72" t="s">
        <v>2285</v>
      </c>
      <c r="C170" t="str" cm="1">
        <f t="array" ref="C170">_xll.BDP(B170&amp;" Equity","OPT_UNDL_TICKER")</f>
        <v>META US</v>
      </c>
      <c r="D170" s="63">
        <f>A170*AVERAGE(K170:L170)</f>
        <v>157.35</v>
      </c>
      <c r="E170" cm="1">
        <f t="array" ref="E170">_xll.BDP($B170&amp;" Index","opt_days_expire")</f>
        <v>164</v>
      </c>
      <c r="F170" t="str" cm="1">
        <f t="array" ref="F170">_xll.BDP(B170&amp;" Equity","QUOTED_CURRENCY_REALTIME")</f>
        <v>USD</v>
      </c>
      <c r="G170" s="104" t="s">
        <v>248</v>
      </c>
      <c r="H170" s="130">
        <v>75</v>
      </c>
      <c r="I170" s="96">
        <f>IF(G170="Buy",L170,K170)</f>
        <v>77.55</v>
      </c>
      <c r="J170" s="18">
        <f>I170/S170</f>
        <v>0.11211507879138354</v>
      </c>
      <c r="K170" s="35" cm="1">
        <f t="array" ref="K170">_xll.BDP($B170&amp;" Equity","bid")</f>
        <v>77.55</v>
      </c>
      <c r="L170" s="35" cm="1">
        <f t="array" ref="L170">_xll.BDP($B170&amp;" Equity","ask")</f>
        <v>79.8</v>
      </c>
      <c r="M170" s="39">
        <f>(L170/K170-1)</f>
        <v>2.9013539651837617E-2</v>
      </c>
      <c r="N170" s="35" cm="1">
        <f t="array" ref="N170">_xll.BDP(F170&amp;" Curncy","PX_LAST")</f>
        <v>1</v>
      </c>
      <c r="O170" s="161" cm="1">
        <f t="array" ref="O170">_xll.BDP(B170&amp;" Equity","OPT_MULTIPLIER")</f>
        <v>100</v>
      </c>
      <c r="P170" s="15">
        <f>IF(G170="Buy",((I170/N170)*H170*O170),((I170/N170)*-H170*O170))</f>
        <v>-581625</v>
      </c>
      <c r="Q170" s="57">
        <f>P170/'Master P&amp;L'!$AD$5*10000</f>
        <v>-2.5895633077444007</v>
      </c>
      <c r="R170" s="36" cm="1">
        <f t="array" ref="R170">_xll.BDP($C170&amp;" Equity","EST_PE_NXT_YR")*(T170/S170)</f>
        <v>17.782237082696426</v>
      </c>
      <c r="S170" s="35" cm="1">
        <f t="array" ref="S170">_xll.BDP(C170&amp;" Equity","LAST_PRICE")</f>
        <v>691.7</v>
      </c>
      <c r="T170" s="52" cm="1">
        <f t="array" ref="T170">_xll.BDP(B170&amp;" Equity","OPT_STRIKE_PX")</f>
        <v>670</v>
      </c>
      <c r="U170" s="39">
        <f>T170/S170-1</f>
        <v>-3.1371982073153171E-2</v>
      </c>
      <c r="V170" s="36" cm="1">
        <f t="array" ref="V170">_xll.BDP($B170&amp;" Equity","ivol_mid")</f>
        <v>34.581609999999998</v>
      </c>
      <c r="W170" s="37" cm="1">
        <f t="array" ref="W170">_xll.BDP(B170&amp;" Equity","DELTA_MID_RT")</f>
        <v>0.62788712978363037</v>
      </c>
      <c r="X170" s="47">
        <f>Y170/'Master P&amp;L'!$AE$5</f>
        <v>-1.4502540516589247E-3</v>
      </c>
      <c r="Y170" s="15">
        <f>IF(G170="Sell", S170*W170*-H170*O170/N170, S170*W170*H170*O170/N170)</f>
        <v>-3257321.4575350285</v>
      </c>
      <c r="Z170" s="15" cm="1">
        <f t="array" ref="Z170">_xll.BDP($B170&amp;" Equity","opt_theta")*H170*O170/N170</f>
        <v>-1384.8975</v>
      </c>
      <c r="AA170" s="18" cm="1">
        <f t="array" ref="AA170">_xll.BDP($B170&amp;" Equity","opt_theta")/I170</f>
        <v>-2.3810831721470024E-3</v>
      </c>
      <c r="AB170" s="35" t="str" cm="1">
        <f t="array" ref="AB170">_xll.BDP($C170&amp;" Equity","EXPECTED_REPORT_DT")</f>
        <v>30/04/2026</v>
      </c>
      <c r="AC170" s="15">
        <f>S170*H170*O170/N170</f>
        <v>5187750</v>
      </c>
      <c r="AD170" s="47">
        <f>AC170/'Master P&amp;L'!$AE$5</f>
        <v>2.309736866494909E-3</v>
      </c>
      <c r="AE170" t="str">
        <f>B170&amp;" -&gt; Buy to open "&amp;H170&amp;"x"</f>
        <v>META US 07/17/26 C670 -&gt; Buy to open 75x</v>
      </c>
      <c r="AK170" t="s">
        <v>274</v>
      </c>
    </row>
    <row r="171" spans="1:37" hidden="1">
      <c r="A171" s="232">
        <v>2</v>
      </c>
      <c r="B171" s="72" t="s">
        <v>2398</v>
      </c>
      <c r="C171" t="str" cm="1">
        <f t="array" ref="C171">_xll.BDP(B171&amp;" Equity","OPT_UNDL_TICKER")</f>
        <v>META US</v>
      </c>
      <c r="D171" s="63">
        <f>A171*AVERAGE(K171:L171)</f>
        <v>126.25</v>
      </c>
      <c r="E171" cm="1">
        <f t="array" ref="E171">_xll.BDP($B171&amp;" Index","opt_days_expire")</f>
        <v>164</v>
      </c>
      <c r="F171" t="str" cm="1">
        <f t="array" ref="F171">_xll.BDP(B171&amp;" Equity","QUOTED_CURRENCY_REALTIME")</f>
        <v>USD</v>
      </c>
      <c r="G171" s="104" t="s">
        <v>247</v>
      </c>
      <c r="H171" s="130">
        <v>75</v>
      </c>
      <c r="I171" s="96">
        <f>IF(G171="Buy",L171,K171)</f>
        <v>63.3</v>
      </c>
      <c r="J171" s="18">
        <f>I171/S171</f>
        <v>9.1513661992193143E-2</v>
      </c>
      <c r="K171" s="35" cm="1">
        <f t="array" ref="K171">_xll.BDP($B171&amp;" Equity","bid")</f>
        <v>62.95</v>
      </c>
      <c r="L171" s="35" cm="1">
        <f t="array" ref="L171">_xll.BDP($B171&amp;" Equity","ask")</f>
        <v>63.3</v>
      </c>
      <c r="M171" s="39">
        <f>(L171/K171-1)</f>
        <v>5.5599682287528207E-3</v>
      </c>
      <c r="N171" s="35" cm="1">
        <f t="array" ref="N171">_xll.BDP(F171&amp;" Curncy","PX_LAST")</f>
        <v>1</v>
      </c>
      <c r="O171" s="161" cm="1">
        <f t="array" ref="O171">_xll.BDP(B171&amp;" Equity","OPT_MULTIPLIER")</f>
        <v>100</v>
      </c>
      <c r="P171" s="15">
        <f>IF(G171="Buy",((I171/N171)*H171*O171),((I171/N171)*-H171*O171))</f>
        <v>474750</v>
      </c>
      <c r="Q171" s="57">
        <f>P171/'Master P&amp;L'!$AD$5*10000</f>
        <v>2.1137247889132245</v>
      </c>
      <c r="R171" s="36" cm="1">
        <f t="array" ref="R171">_xll.BDP($C171&amp;" Equity","EST_PE_NXT_YR")*(T171/S171)</f>
        <v>18.578456653563428</v>
      </c>
      <c r="S171" s="35" cm="1">
        <f t="array" ref="S171">_xll.BDP(C171&amp;" Equity","LAST_PRICE")</f>
        <v>691.7</v>
      </c>
      <c r="T171" s="52" cm="1">
        <f t="array" ref="T171">_xll.BDP(B171&amp;" Equity","OPT_STRIKE_PX")</f>
        <v>700</v>
      </c>
      <c r="U171" s="39">
        <f>T171/S171-1</f>
        <v>1.1999421714615988E-2</v>
      </c>
      <c r="V171" s="36" cm="1">
        <f t="array" ref="V171">_xll.BDP(B171&amp;" Equity","ivol_mid")</f>
        <v>33.557969999999997</v>
      </c>
      <c r="W171" s="37" cm="1">
        <f t="array" ref="W171">_xll.BDP(B171&amp;" Equity","DELTA_MID_RT")</f>
        <v>0.55253177881240845</v>
      </c>
      <c r="X171" s="47">
        <f>Y171/'Master P&amp;L'!$AE$5</f>
        <v>1.2762030194330305E-3</v>
      </c>
      <c r="Y171" s="15">
        <f>IF(G171="Sell", S171*W171*-H171*O171/N171, S171*W171*H171*O171/N171)</f>
        <v>2866396.7355340719</v>
      </c>
      <c r="Z171" s="15" cm="1">
        <f t="array" ref="Z171">_xll.BDP($B171&amp;" Equity","opt_theta")*H171*O171/N171</f>
        <v>-1419.69</v>
      </c>
      <c r="AA171" s="18" cm="1">
        <f t="array" ref="AA171">_xll.BDP($B171&amp;" Equity","opt_theta")/I171</f>
        <v>-2.9903949447077408E-3</v>
      </c>
      <c r="AB171" s="35" t="str" cm="1">
        <f t="array" ref="AB171">_xll.BDP($C171&amp;" Equity","EXPECTED_REPORT_DT")</f>
        <v>30/04/2026</v>
      </c>
      <c r="AC171" s="15">
        <f>S171*H171*O171/N171</f>
        <v>5187750</v>
      </c>
      <c r="AD171" s="18">
        <f>AC171/'Master P&amp;L'!$AE$5</f>
        <v>2.309736866494909E-3</v>
      </c>
      <c r="AE171" t="str">
        <f>B171  &amp; " -&gt; Sell to open " &amp;   H171 &amp;"x"</f>
        <v>META US 07/17/26 C700 -&gt; Sell to open 75x</v>
      </c>
      <c r="AK171" t="s">
        <v>275</v>
      </c>
    </row>
    <row r="172" spans="1:37" hidden="1">
      <c r="H172" s="99" t="s">
        <v>116</v>
      </c>
      <c r="I172" s="101">
        <f>I170-I169-I171</f>
        <v>-26.25</v>
      </c>
      <c r="J172" s="99" t="s">
        <v>249</v>
      </c>
      <c r="K172" s="100">
        <f>K171/L170</f>
        <v>0.78884711779448624</v>
      </c>
      <c r="P172" s="129">
        <f>P170+P171+P169</f>
        <v>136125</v>
      </c>
      <c r="Q172" s="57">
        <f>P172/'Master P&amp;L'!$AD$5*10000</f>
        <v>0.606068008195498</v>
      </c>
      <c r="S172" s="99" t="s">
        <v>251</v>
      </c>
      <c r="T172" s="101"/>
      <c r="W172" s="99" t="s">
        <v>252</v>
      </c>
      <c r="X172" s="121">
        <f>X170+X171+X169</f>
        <v>8.5250115817639264E-4</v>
      </c>
      <c r="AC172" s="99" t="s">
        <v>229</v>
      </c>
      <c r="AD172" s="121">
        <f>AD170</f>
        <v>2.309736866494909E-3</v>
      </c>
    </row>
    <row r="173" spans="1:37" hidden="1">
      <c r="H173" s="99" t="s">
        <v>253</v>
      </c>
      <c r="I173" s="101"/>
      <c r="J173" s="99" t="s">
        <v>145</v>
      </c>
      <c r="K173" s="108">
        <f>-AVERAGE(K169:L169)+AVERAGE(K170:L170)-AVERAGE(K171:L171)</f>
        <v>-24.825000000000003</v>
      </c>
      <c r="P173" s="99"/>
      <c r="Q173" s="107"/>
      <c r="S173" s="99"/>
      <c r="T173" s="101"/>
      <c r="W173" s="99"/>
      <c r="X173" s="121"/>
      <c r="Y173" s="13">
        <f>(Y169+Y170+Y171)/S170</f>
        <v>2768.1762278079987</v>
      </c>
      <c r="AC173" s="99"/>
      <c r="AD173" s="103"/>
    </row>
    <row r="174" spans="1:37" hidden="1">
      <c r="D174" s="63"/>
      <c r="H174" s="95"/>
      <c r="I174" s="63">
        <f>(I170*A170)-(I171*A171)-(I169*A169)</f>
        <v>-12</v>
      </c>
      <c r="K174" s="63"/>
      <c r="N174" s="35"/>
      <c r="O174" s="161"/>
      <c r="P174" s="15"/>
      <c r="Q174" s="57"/>
    </row>
    <row r="175" spans="1:37" hidden="1">
      <c r="I175" s="20">
        <f>I171/I170</f>
        <v>0.81624758220502902</v>
      </c>
    </row>
    <row r="176" spans="1:37" hidden="1">
      <c r="I176" s="20"/>
    </row>
    <row r="177" spans="1:37" hidden="1">
      <c r="H177" s="270">
        <v>1</v>
      </c>
      <c r="I177" s="63" t="e">
        <f>I179-I178</f>
        <v>#VALUE!</v>
      </c>
      <c r="J177" s="17" t="e">
        <f>T178-T179</f>
        <v>#VALUE!</v>
      </c>
      <c r="K177" s="270" t="e">
        <f>(J177-I177)/I177</f>
        <v>#VALUE!</v>
      </c>
      <c r="Q177" s="270" t="e">
        <f>Q179+Q178</f>
        <v>#VALUE!</v>
      </c>
    </row>
    <row r="178" spans="1:37" hidden="1">
      <c r="A178" s="232"/>
      <c r="C178" t="str" cm="1">
        <f t="array" ref="C178">_xll.BDP(B178&amp;" Equity","OPT_UNDL_TICKER")</f>
        <v>#N/A Invalid Security</v>
      </c>
      <c r="D178" s="63" t="e">
        <f>A178*AVERAGE(K178:L178)</f>
        <v>#DIV/0!</v>
      </c>
      <c r="E178" t="str" cm="1">
        <f t="array" ref="E178">_xll.BDP($B178&amp;" Index","opt_days_expire")</f>
        <v>#N/A Invalid Security</v>
      </c>
      <c r="F178" t="str" cm="1">
        <f t="array" ref="F178">_xll.BDP(B178&amp;" Equity","QUOTED_CURRENCY_REALTIME")</f>
        <v>#N/A Invalid Security</v>
      </c>
      <c r="G178" s="104" t="s">
        <v>248</v>
      </c>
      <c r="H178" s="130">
        <f>H179*H177</f>
        <v>20</v>
      </c>
      <c r="I178" s="96" t="str">
        <f>IF(G178="Buy",L178,K178)</f>
        <v>#N/A Invalid Security</v>
      </c>
      <c r="J178" s="18" t="e">
        <f>I178/S178</f>
        <v>#VALUE!</v>
      </c>
      <c r="K178" s="35" t="str" cm="1">
        <f t="array" ref="K178">_xll.BDP($B178&amp;" Equity","bid")</f>
        <v>#N/A Invalid Security</v>
      </c>
      <c r="L178" s="35" t="str" cm="1">
        <f t="array" ref="L178">_xll.BDP($B178&amp;" Equity","ask")</f>
        <v>#N/A Invalid Security</v>
      </c>
      <c r="M178" s="39" t="e">
        <f>(L178/K178-1)</f>
        <v>#VALUE!</v>
      </c>
      <c r="N178" s="35" t="str" cm="1">
        <f t="array" ref="N178">_xll.BDP(F178&amp;" Curncy","PX_LAST")</f>
        <v>#N/A Invalid Security Curncy</v>
      </c>
      <c r="O178" s="161" t="str" cm="1">
        <f t="array" ref="O178">_xll.BDP(B178&amp;" Equity","OPT_MULTIPLIER")</f>
        <v>#N/A Invalid Security</v>
      </c>
      <c r="P178" s="15" t="e">
        <f>IF(G178="Buy",((I178/N178)*H178*O178),((I178/N178)*-H178*O178))</f>
        <v>#VALUE!</v>
      </c>
      <c r="Q178" s="57" t="e">
        <f>P178/'Master P&amp;L'!$AD$5*10000</f>
        <v>#VALUE!</v>
      </c>
      <c r="R178" s="36" t="e" cm="1">
        <f t="array" ref="R178">_xll.BDP($C178&amp;" Equity","EST_PE_NXT_YR")*(T178/S178)</f>
        <v>#VALUE!</v>
      </c>
      <c r="S178" s="35" t="str" cm="1">
        <f t="array" ref="S178">_xll.BDP(C178&amp;" Equity","LAST_PRICE")</f>
        <v>#N/A Invalid Security Equity</v>
      </c>
      <c r="T178" s="52" t="str" cm="1">
        <f t="array" ref="T178">_xll.BDP(B178&amp;" Equity","OPT_STRIKE_PX")</f>
        <v>#N/A Invalid Security</v>
      </c>
      <c r="U178" s="39" t="e">
        <f>T178/S178-1</f>
        <v>#VALUE!</v>
      </c>
      <c r="V178" s="36" t="str" cm="1">
        <f t="array" ref="V178">_xll.BDP($B178&amp;" Equity","ivol_mid")</f>
        <v>#N/A Invalid Security</v>
      </c>
      <c r="W178" s="37" t="str" cm="1">
        <f t="array" ref="W178">_xll.BDP(B178&amp;" Equity","DELTA_MID_RT")</f>
        <v>#N/A Invalid Security</v>
      </c>
      <c r="X178" s="47" t="e">
        <f>Y178/'Master P&amp;L'!$AE$5</f>
        <v>#VALUE!</v>
      </c>
      <c r="Y178" s="15" t="e">
        <f>IF(G178="Sell", S178*W178*-H178*O178/N178, S178*W178*H178*O178/N178)</f>
        <v>#VALUE!</v>
      </c>
      <c r="Z178" s="15" t="e" cm="1">
        <f t="array" ref="Z178">_xll.BDP($B178&amp;" Equity","opt_theta")*H178*O178/N178</f>
        <v>#VALUE!</v>
      </c>
      <c r="AA178" s="18" t="e" cm="1">
        <f t="array" ref="AA178">_xll.BDP($B178&amp;" Equity","opt_theta")/I178</f>
        <v>#VALUE!</v>
      </c>
      <c r="AB178" s="35" t="str" cm="1">
        <f t="array" ref="AB178">_xll.BDP($C178&amp;" Equity","EXPECTED_REPORT_DT")</f>
        <v>#N/A Invalid Security Equity</v>
      </c>
      <c r="AC178" s="15" t="e">
        <f>S178*H178*O178/N178</f>
        <v>#VALUE!</v>
      </c>
      <c r="AD178" s="18" t="e">
        <f>AC178/'Master P&amp;L'!$AE$5</f>
        <v>#VALUE!</v>
      </c>
      <c r="AE178" t="str">
        <f>B178  &amp; " - Buy to open " &amp;  "-" &amp; H178 &amp;"x"</f>
        <v xml:space="preserve"> - Buy to open -20x</v>
      </c>
      <c r="AK178" s="58"/>
    </row>
    <row r="179" spans="1:37" hidden="1">
      <c r="A179" s="232"/>
      <c r="B179" s="72"/>
      <c r="C179" t="str" cm="1">
        <f t="array" ref="C179">_xll.BDP(B179&amp;" Equity","OPT_UNDL_TICKER")</f>
        <v>#N/A Invalid Security</v>
      </c>
      <c r="D179" s="63" t="e">
        <f>A179*AVERAGE(K179:L179)</f>
        <v>#DIV/0!</v>
      </c>
      <c r="E179" t="str" cm="1">
        <f t="array" ref="E179">_xll.BDP($B179&amp;" Index","opt_days_expire")</f>
        <v>#N/A Invalid Security</v>
      </c>
      <c r="F179" t="str" cm="1">
        <f t="array" ref="F179">_xll.BDP(B179&amp;" Equity","QUOTED_CURRENCY_REALTIME")</f>
        <v>#N/A Invalid Security</v>
      </c>
      <c r="G179" s="104" t="s">
        <v>247</v>
      </c>
      <c r="H179" s="130">
        <v>20</v>
      </c>
      <c r="I179" s="96" t="str">
        <f>IF(G179="Buy",L179,K179)</f>
        <v>#N/A Invalid Security</v>
      </c>
      <c r="J179" s="18" t="e">
        <f>I179/S179</f>
        <v>#VALUE!</v>
      </c>
      <c r="K179" s="35" t="str" cm="1">
        <f t="array" ref="K179">_xll.BDP($B179&amp;" Equity","bid")</f>
        <v>#N/A Invalid Security</v>
      </c>
      <c r="L179" s="35" t="str" cm="1">
        <f t="array" ref="L179">_xll.BDP($B179&amp;" Equity","ask")</f>
        <v>#N/A Invalid Security</v>
      </c>
      <c r="M179" s="39" t="e">
        <f>(L179/K179-1)</f>
        <v>#VALUE!</v>
      </c>
      <c r="N179" s="35" t="str" cm="1">
        <f t="array" ref="N179">_xll.BDP(F179&amp;" Curncy","PX_LAST")</f>
        <v>#N/A Invalid Security Curncy</v>
      </c>
      <c r="O179" s="161" t="str" cm="1">
        <f t="array" ref="O179">_xll.BDP(B179&amp;" Equity","OPT_MULTIPLIER")</f>
        <v>#N/A Invalid Security</v>
      </c>
      <c r="P179" s="15" t="e">
        <f>IF(G179="Buy",((I179/N179)*H179*O179),((I179/N179)*-H179*O179))</f>
        <v>#VALUE!</v>
      </c>
      <c r="Q179" s="57" t="e">
        <f>P179/'Master P&amp;L'!$AD$5*10000</f>
        <v>#VALUE!</v>
      </c>
      <c r="R179" s="36" t="e" cm="1">
        <f t="array" ref="R179">_xll.BDP($C179&amp;" Equity","EST_PE_NXT_YR")*(T179/S179)</f>
        <v>#VALUE!</v>
      </c>
      <c r="S179" s="35" t="str" cm="1">
        <f t="array" ref="S179">_xll.BDP(C179&amp;" Equity","LAST_PRICE")</f>
        <v>#N/A Invalid Security Equity</v>
      </c>
      <c r="T179" s="52" t="str" cm="1">
        <f t="array" ref="T179">_xll.BDP(B179&amp;" Equity","OPT_STRIKE_PX")</f>
        <v>#N/A Invalid Security</v>
      </c>
      <c r="U179" s="39" t="e">
        <f>T179/S179-1</f>
        <v>#VALUE!</v>
      </c>
      <c r="V179" s="36" t="str" cm="1">
        <f t="array" ref="V179">_xll.BDP($B179&amp;" Equity","ivol_mid")</f>
        <v>#N/A Invalid Security</v>
      </c>
      <c r="W179" s="37" t="str" cm="1">
        <f t="array" ref="W179">_xll.BDP(B179&amp;" Equity","DELTA_MID_RT")</f>
        <v>#N/A Invalid Security</v>
      </c>
      <c r="X179" s="47" t="e">
        <f>Y179/'Master P&amp;L'!$AE$5</f>
        <v>#VALUE!</v>
      </c>
      <c r="Y179" s="15" t="e">
        <f>IF(G179="Sell", S179*W179*-H179*O179/N179, S179*W179*H179*O179/N179)</f>
        <v>#VALUE!</v>
      </c>
      <c r="Z179" s="15" t="e" cm="1">
        <f t="array" ref="Z179">_xll.BDP($B179&amp;" Equity","opt_theta")*H179*O179/N179</f>
        <v>#VALUE!</v>
      </c>
      <c r="AA179" s="18" t="e" cm="1">
        <f t="array" ref="AA179">_xll.BDP($B179&amp;" Equity","opt_theta")/I179</f>
        <v>#VALUE!</v>
      </c>
      <c r="AB179" s="35" t="str" cm="1">
        <f t="array" ref="AB179">_xll.BDP($C179&amp;" Equity","EXPECTED_REPORT_DT")</f>
        <v>#N/A Invalid Security Equity</v>
      </c>
      <c r="AC179" s="15" t="e">
        <f>S179*H179*O179/N179</f>
        <v>#VALUE!</v>
      </c>
      <c r="AD179" s="47" t="e">
        <f>AC179/'Master P&amp;L'!$AE$5</f>
        <v>#VALUE!</v>
      </c>
      <c r="AE179" t="str">
        <f>B179&amp;" -&gt; Buy to open "&amp;H179&amp;"x"</f>
        <v xml:space="preserve"> -&gt; Buy to open 20x</v>
      </c>
    </row>
    <row r="180" spans="1:37" hidden="1">
      <c r="A180" s="232"/>
      <c r="B180" t="s">
        <v>2292</v>
      </c>
      <c r="C180" t="str" cm="1">
        <f t="array" ref="C180">_xll.BDP(B180&amp;" Equity","OPT_UNDL_TICKER")</f>
        <v>META US</v>
      </c>
      <c r="D180" s="63">
        <f>A180*AVERAGE(K180:L180)</f>
        <v>0</v>
      </c>
      <c r="E180" cm="1">
        <f t="array" ref="E180">_xll.BDP($B180&amp;" Index","opt_days_expire")</f>
        <v>24</v>
      </c>
      <c r="F180" t="str" cm="1">
        <f t="array" ref="F180">_xll.BDP(B180&amp;" Equity","QUOTED_CURRENCY_REALTIME")</f>
        <v>USD</v>
      </c>
      <c r="G180" s="104" t="s">
        <v>247</v>
      </c>
      <c r="H180" s="130">
        <v>35</v>
      </c>
      <c r="I180" s="96">
        <f>IF(G180="Buy",L180,K180)</f>
        <v>42.6</v>
      </c>
      <c r="J180" s="18">
        <f>I180/S180</f>
        <v>6.1587393378632352E-2</v>
      </c>
      <c r="K180" s="35" cm="1">
        <f t="array" ref="K180">_xll.BDP($B180&amp;" Equity","bid")</f>
        <v>42.3</v>
      </c>
      <c r="L180" s="35" cm="1">
        <f t="array" ref="L180">_xll.BDP($B180&amp;" Equity","ask")</f>
        <v>42.6</v>
      </c>
      <c r="M180" s="39">
        <f>(L180/K180-1)</f>
        <v>7.0921985815604049E-3</v>
      </c>
      <c r="N180" s="35" cm="1">
        <f t="array" ref="N180">_xll.BDP(F180&amp;" Curncy","PX_LAST")</f>
        <v>1</v>
      </c>
      <c r="O180" s="161" cm="1">
        <f t="array" ref="O180">_xll.BDP(B180&amp;" Equity","OPT_MULTIPLIER")</f>
        <v>100</v>
      </c>
      <c r="P180" s="15">
        <f>IF(G180="Buy",((I180/N180)*H180*O180),((I180/N180)*-H180*O180))</f>
        <v>149100</v>
      </c>
      <c r="Q180" s="57">
        <f>P180/'Master P&amp;L'!$AD$5*10000</f>
        <v>0.66383647399044088</v>
      </c>
      <c r="R180" s="36" cm="1">
        <f t="array" ref="R180">_xll.BDP($C180&amp;" Equity","EST_PE_NXT_YR")*(T180/S180)</f>
        <v>17.516830559074091</v>
      </c>
      <c r="S180" s="35" cm="1">
        <f t="array" ref="S180">_xll.BDP(C180&amp;" Equity","LAST_PRICE")</f>
        <v>691.7</v>
      </c>
      <c r="T180" s="52" cm="1">
        <f t="array" ref="T180">_xll.BDP(B180&amp;" Equity","OPT_STRIKE_PX")</f>
        <v>660</v>
      </c>
      <c r="U180" s="39">
        <f>T180/S180-1</f>
        <v>-4.5829116669076297E-2</v>
      </c>
      <c r="V180" s="36" cm="1">
        <f t="array" ref="V180">_xll.BDP(B180&amp;" Equity","ivol_mid")</f>
        <v>30.99363</v>
      </c>
      <c r="W180" s="37" cm="1">
        <f t="array" ref="W180">_xll.BDP(B180&amp;" Equity","DELTA_MID_RT")</f>
        <v>0.74197310209274292</v>
      </c>
      <c r="X180" s="47">
        <f>Y180/'Master P&amp;L'!$AE$5</f>
        <v>7.9975589299722638E-4</v>
      </c>
      <c r="Y180" s="15">
        <f>IF(G180="Sell", S180*W180*-H180*O180/N180, S180*W180*H180*O180/N180)</f>
        <v>1796279.781511426</v>
      </c>
      <c r="Z180" s="15" cm="1">
        <f t="array" ref="Z180">_xll.BDP($B180&amp;" Equity","opt_theta")*H180*O180/N180</f>
        <v>-1309.6895</v>
      </c>
      <c r="AA180" s="18" cm="1">
        <f t="array" ref="AA180">_xll.BDP($B180&amp;" Equity","opt_theta")/I180</f>
        <v>-8.7839671361502353E-3</v>
      </c>
      <c r="AB180" s="35" t="str" cm="1">
        <f t="array" ref="AB180">_xll.BDP($C180&amp;" Equity","EXPECTED_REPORT_DT")</f>
        <v>30/04/2026</v>
      </c>
      <c r="AC180" s="15">
        <f>S180*H180*O180/N180</f>
        <v>2420950</v>
      </c>
      <c r="AD180" s="18">
        <f>AC180/'Master P&amp;L'!$AE$5</f>
        <v>1.077877204364291E-3</v>
      </c>
      <c r="AE180" t="str">
        <f>B180  &amp; " -&gt; Sell to open " &amp;   H180 &amp;"x"</f>
        <v>META US 02/27/26 C660 -&gt; Sell to open 35x</v>
      </c>
    </row>
    <row r="181" spans="1:37" hidden="1">
      <c r="H181" s="99" t="s">
        <v>116</v>
      </c>
      <c r="I181" s="101" t="e">
        <f>I179-I178-I180</f>
        <v>#VALUE!</v>
      </c>
      <c r="J181" s="99" t="s">
        <v>249</v>
      </c>
      <c r="K181" s="100" t="e">
        <f>K180/L179</f>
        <v>#VALUE!</v>
      </c>
      <c r="P181" s="129" t="e">
        <f>P179+P180+P178</f>
        <v>#VALUE!</v>
      </c>
      <c r="Q181" s="57" t="e">
        <f>P181/'Master P&amp;L'!$AD$5*10000</f>
        <v>#VALUE!</v>
      </c>
      <c r="S181" s="99" t="s">
        <v>251</v>
      </c>
      <c r="T181" s="101"/>
      <c r="W181" s="99" t="s">
        <v>252</v>
      </c>
      <c r="X181" s="121" t="e">
        <f>X179+X180+X178</f>
        <v>#VALUE!</v>
      </c>
      <c r="AC181" s="99" t="s">
        <v>229</v>
      </c>
      <c r="AD181" s="121" t="e">
        <f>AD179</f>
        <v>#VALUE!</v>
      </c>
    </row>
    <row r="182" spans="1:37" hidden="1">
      <c r="H182" s="99" t="s">
        <v>253</v>
      </c>
      <c r="I182" s="101"/>
      <c r="J182" s="99" t="s">
        <v>145</v>
      </c>
      <c r="K182" s="108" t="e">
        <f>-AVERAGE(K178:L178)+AVERAGE(K179:L179)-AVERAGE(K180:L180)</f>
        <v>#DIV/0!</v>
      </c>
      <c r="P182" s="99"/>
      <c r="Q182" s="107"/>
      <c r="S182" s="99"/>
      <c r="T182" s="101"/>
      <c r="W182" s="99"/>
      <c r="X182" s="121"/>
      <c r="Y182" s="13" t="e">
        <f>(Y178+Y179+Y180)/S179</f>
        <v>#VALUE!</v>
      </c>
      <c r="AC182" s="99"/>
      <c r="AD182" s="103"/>
    </row>
    <row r="183" spans="1:37" hidden="1">
      <c r="D183" s="63"/>
      <c r="H183" s="95"/>
      <c r="I183" s="63" t="e">
        <f>(I179*A179)-(I180*A180)-(I178*A178)</f>
        <v>#VALUE!</v>
      </c>
      <c r="K183" s="63"/>
      <c r="N183" s="35"/>
      <c r="O183" s="161"/>
      <c r="P183" s="15"/>
      <c r="Q183" s="57"/>
    </row>
    <row r="185" spans="1:37">
      <c r="A185">
        <v>300</v>
      </c>
      <c r="H185" s="270">
        <v>1</v>
      </c>
      <c r="I185" s="63">
        <f>I187-I186</f>
        <v>0.21000000000000002</v>
      </c>
      <c r="J185" s="17">
        <f>T186-T187</f>
        <v>6</v>
      </c>
      <c r="K185" s="270">
        <f>(J185-I185)/I185</f>
        <v>27.571428571428569</v>
      </c>
      <c r="Q185" s="270">
        <f>Q187+Q186</f>
        <v>-1.6362166612440443E-2</v>
      </c>
    </row>
    <row r="186" spans="1:37">
      <c r="A186" s="232">
        <v>1</v>
      </c>
      <c r="B186" t="s">
        <v>2470</v>
      </c>
      <c r="C186" t="str" cm="1">
        <f t="array" ref="C186">_xll.BDP(B186&amp;" Equity","OPT_UNDL_TICKER")</f>
        <v>QQQ US</v>
      </c>
      <c r="D186" s="63">
        <f>A186*AVERAGE(K186:L186)</f>
        <v>6.5000000000000002E-2</v>
      </c>
      <c r="E186" cm="1">
        <f t="array" ref="E186">_xll.BDP($B186&amp;" Index","opt_days_expire")</f>
        <v>3</v>
      </c>
      <c r="F186" t="str" cm="1">
        <f t="array" ref="F186">_xll.BDP(B186&amp;" Equity","QUOTED_CURRENCY_REALTIME")</f>
        <v>USD</v>
      </c>
      <c r="G186" s="104" t="s">
        <v>247</v>
      </c>
      <c r="H186" s="130">
        <f>H187</f>
        <v>175</v>
      </c>
      <c r="I186" s="96">
        <f>IF(G186="Buy",L186,K186)</f>
        <v>7.0000000000000007E-2</v>
      </c>
      <c r="J186" s="18">
        <f>I186/S186</f>
        <v>1.1354051774476094E-4</v>
      </c>
      <c r="K186" s="35" cm="1">
        <f t="array" ref="K186">_xll.BDP($B186&amp;" Equity","bid")</f>
        <v>0.06</v>
      </c>
      <c r="L186" s="35" cm="1">
        <f t="array" ref="L186">_xll.BDP($B186&amp;" Equity","ask")</f>
        <v>7.0000000000000007E-2</v>
      </c>
      <c r="M186" s="39">
        <f>(L186/K186-1)</f>
        <v>0.16666666666666674</v>
      </c>
      <c r="N186" s="35" cm="1">
        <f t="array" ref="N186">_xll.BDP(F186&amp;" Curncy","PX_LAST")</f>
        <v>1</v>
      </c>
      <c r="O186" s="161" cm="1">
        <f t="array" ref="O186">_xll.BDP(B186&amp;" Equity","OPT_MULTIPLIER")</f>
        <v>100</v>
      </c>
      <c r="P186" s="15">
        <f>IF(G186="Buy",((I186/N186)*H186*O186),((I186/N186)*-H186*O186))</f>
        <v>1225.0000000000002</v>
      </c>
      <c r="Q186" s="57">
        <f>P186/'Master P&amp;L'!$AD$5*10000</f>
        <v>5.4540555374801482E-3</v>
      </c>
      <c r="R186" s="36" t="e" cm="1">
        <f t="array" ref="R186">_xll.BDP($C186&amp;" Equity","EST_PE_NXT_YR")*(T186/S186)</f>
        <v>#VALUE!</v>
      </c>
      <c r="S186" s="35" cm="1">
        <f t="array" ref="S186">_xll.BDP(C186&amp;" Equity","LAST_PRICE")</f>
        <v>616.52</v>
      </c>
      <c r="T186" s="52" cm="1">
        <f t="array" ref="T186">_xll.BDP(B186&amp;" Equity","OPT_STRIKE_PX")</f>
        <v>640</v>
      </c>
      <c r="U186" s="39">
        <f>T186/S186-1</f>
        <v>3.8084733666385651E-2</v>
      </c>
      <c r="V186" s="36" cm="1">
        <f t="array" ref="V186">_xll.BDP($B186&amp;" Equity","ivol_mid")</f>
        <v>16.998830000000002</v>
      </c>
      <c r="W186" s="37" cm="1">
        <f t="array" ref="W186">_xll.BDP(B186&amp;" Equity","DELTA_MID_RT")</f>
        <v>1.6936954110860825E-2</v>
      </c>
      <c r="X186" s="47">
        <f>Y186/'Master P&amp;L'!$AE$5</f>
        <v>8.1358699247828723E-5</v>
      </c>
      <c r="Y186" s="15">
        <f>IF(G186="Sell", S186*W186*-H186*O186/N186, S186*W186*H186*O186/N186)</f>
        <v>182734.49159748852</v>
      </c>
      <c r="Z186" s="15" cm="1">
        <f t="array" ref="Z186">_xll.BDP($B186&amp;" Equity","opt_theta")*H186*O186/N186</f>
        <v>-861.78750000000002</v>
      </c>
      <c r="AA186" s="18" cm="1">
        <f t="array" ref="AA186">_xll.BDP($B186&amp;" Equity","opt_theta")/I186</f>
        <v>-0.7034999999999999</v>
      </c>
      <c r="AB186" s="35" t="str" cm="1">
        <f t="array" ref="AB186">_xll.BDP($C186&amp;" Equity","EXPECTED_REPORT_DT")</f>
        <v>#N/A N/A</v>
      </c>
      <c r="AC186" s="15">
        <f>S186*H186*O186/N186</f>
        <v>10789100</v>
      </c>
      <c r="AD186" s="18">
        <f>AC186/'Master P&amp;L'!$AE$5</f>
        <v>4.8036204570960864E-3</v>
      </c>
      <c r="AE186" t="str">
        <f>B186  &amp; " - Buy to open " &amp;  "-" &amp; H186 &amp;"x"</f>
        <v>QQQ US 02/06/26 C640 - Buy to open -175x</v>
      </c>
      <c r="AK186" s="58"/>
    </row>
    <row r="187" spans="1:37">
      <c r="A187" s="232">
        <v>2</v>
      </c>
      <c r="B187" t="s">
        <v>2467</v>
      </c>
      <c r="C187" t="str" cm="1">
        <f t="array" ref="C187">_xll.BDP(B187&amp;" Equity","OPT_UNDL_TICKER")</f>
        <v>QQQ US</v>
      </c>
      <c r="D187" s="63">
        <f>A187*AVERAGE(K187:L187)</f>
        <v>0.57000000000000006</v>
      </c>
      <c r="E187" cm="1">
        <f t="array" ref="E187">_xll.BDP($B187&amp;" Index","opt_days_expire")</f>
        <v>3</v>
      </c>
      <c r="F187" t="str" cm="1">
        <f t="array" ref="F187">_xll.BDP(B187&amp;" Equity","QUOTED_CURRENCY_REALTIME")</f>
        <v>USD</v>
      </c>
      <c r="G187" s="104" t="s">
        <v>248</v>
      </c>
      <c r="H187" s="130">
        <v>175</v>
      </c>
      <c r="I187" s="96">
        <f>IF(G187="Buy",L187,K187)</f>
        <v>0.28000000000000003</v>
      </c>
      <c r="J187" s="18">
        <f>I187/S187</f>
        <v>4.5416207097904375E-4</v>
      </c>
      <c r="K187" s="35" cm="1">
        <f t="array" ref="K187">_xll.BDP($B187&amp;" Equity","bid")</f>
        <v>0.28000000000000003</v>
      </c>
      <c r="L187" s="35" cm="1">
        <f t="array" ref="L187">_xll.BDP($B187&amp;" Equity","ask")</f>
        <v>0.28999999999999998</v>
      </c>
      <c r="M187" s="39">
        <f>(L187/K187-1)</f>
        <v>3.5714285714285587E-2</v>
      </c>
      <c r="N187" s="35" cm="1">
        <f t="array" ref="N187">_xll.BDP(F187&amp;" Curncy","PX_LAST")</f>
        <v>1</v>
      </c>
      <c r="O187" s="161" cm="1">
        <f t="array" ref="O187">_xll.BDP(B187&amp;" Equity","OPT_MULTIPLIER")</f>
        <v>100</v>
      </c>
      <c r="P187" s="15">
        <f>IF(G187="Buy",((I187/N187)*H187*O187),((I187/N187)*-H187*O187))</f>
        <v>-4900.0000000000009</v>
      </c>
      <c r="Q187" s="57">
        <f>P187/'Master P&amp;L'!$AD$5*10000</f>
        <v>-2.1816222149920593E-2</v>
      </c>
      <c r="R187" s="36" t="e" cm="1">
        <f t="array" ref="R187">_xll.BDP($C187&amp;" Equity","EST_PE_NXT_YR")*(T187/S187)</f>
        <v>#VALUE!</v>
      </c>
      <c r="S187" s="35" cm="1">
        <f t="array" ref="S187">_xll.BDP(C187&amp;" Equity","LAST_PRICE")</f>
        <v>616.52</v>
      </c>
      <c r="T187" s="52" cm="1">
        <f t="array" ref="T187">_xll.BDP(B187&amp;" Equity","OPT_STRIKE_PX")</f>
        <v>634</v>
      </c>
      <c r="U187" s="39">
        <f>T187/S187-1</f>
        <v>2.8352689288263289E-2</v>
      </c>
      <c r="V187" s="36" cm="1">
        <f t="array" ref="V187">_xll.BDP($B187&amp;" Equity","ivol_mid")</f>
        <v>17.645109999999999</v>
      </c>
      <c r="W187" s="37" cm="1">
        <f t="array" ref="W187">_xll.BDP(B187&amp;" Equity","DELTA_MID_RT")</f>
        <v>6.0746349394321442E-2</v>
      </c>
      <c r="X187" s="47">
        <f>Y187/'Master P&amp;L'!$AE$5</f>
        <v>-2.9180240664446893E-4</v>
      </c>
      <c r="Y187" s="15">
        <f>IF(G187="Sell", S187*W187*-H187*O187/N187, S187*W187*H187*O187/N187)</f>
        <v>-655398.43825027347</v>
      </c>
      <c r="Z187" s="15" cm="1">
        <f t="array" ref="Z187">_xll.BDP($B187&amp;" Equity","opt_theta")*H187*O187/N187</f>
        <v>-2907.6075000000001</v>
      </c>
      <c r="AA187" s="18" cm="1">
        <f t="array" ref="AA187">_xll.BDP($B187&amp;" Equity","opt_theta")/I187</f>
        <v>-0.59338928571428562</v>
      </c>
      <c r="AB187" s="35" t="str" cm="1">
        <f t="array" ref="AB187">_xll.BDP($C187&amp;" Equity","EXPECTED_REPORT_DT")</f>
        <v>#N/A N/A</v>
      </c>
      <c r="AC187" s="15">
        <f>S187*H187*O187/N187</f>
        <v>10789100</v>
      </c>
      <c r="AD187" s="47">
        <f>AC187/'Master P&amp;L'!$AE$5</f>
        <v>4.8036204570960864E-3</v>
      </c>
      <c r="AE187" t="str">
        <f>B187&amp;" -&gt; Buy to open "&amp;H187&amp;"x"</f>
        <v>QQQ US 02/06/26 C634 -&gt; Buy to open 175x</v>
      </c>
    </row>
    <row r="188" spans="1:37">
      <c r="A188" s="232">
        <v>2</v>
      </c>
      <c r="B188" t="s">
        <v>2468</v>
      </c>
      <c r="C188" t="str" cm="1">
        <f t="array" ref="C188">_xll.BDP(B188&amp;" Equity","OPT_UNDL_TICKER")</f>
        <v>QQQ US</v>
      </c>
      <c r="D188" s="63">
        <f>A188*AVERAGE(K188:L188)</f>
        <v>19.02</v>
      </c>
      <c r="E188" cm="1">
        <f t="array" ref="E188">_xll.BDP($B188&amp;" Index","opt_days_expire")</f>
        <v>3</v>
      </c>
      <c r="F188" t="str" cm="1">
        <f t="array" ref="F188">_xll.BDP(B188&amp;" Equity","QUOTED_CURRENCY_REALTIME")</f>
        <v>USD</v>
      </c>
      <c r="G188" s="104" t="s">
        <v>247</v>
      </c>
      <c r="H188" s="130">
        <f>H187</f>
        <v>175</v>
      </c>
      <c r="I188" s="96">
        <f>IF(G188="Buy",L188,K188)</f>
        <v>12</v>
      </c>
      <c r="J188" s="18">
        <f>I188/S188</f>
        <v>1.9464088756244727E-2</v>
      </c>
      <c r="K188" s="35" cm="1">
        <f t="array" ref="K188">_xll.BDP($B188&amp;" Equity","bid")</f>
        <v>7.02</v>
      </c>
      <c r="L188" s="35" cm="1">
        <f t="array" ref="L188">_xll.BDP($B188&amp;" Equity","ask")</f>
        <v>12</v>
      </c>
      <c r="M188" s="39">
        <f>(L188/K188-1)</f>
        <v>0.70940170940170955</v>
      </c>
      <c r="N188" s="35" cm="1">
        <f t="array" ref="N188">_xll.BDP(F188&amp;" Curncy","PX_LAST")</f>
        <v>1</v>
      </c>
      <c r="O188" s="161" cm="1">
        <f t="array" ref="O188">_xll.BDP(B188&amp;" Equity","OPT_MULTIPLIER")</f>
        <v>100</v>
      </c>
      <c r="P188" s="15">
        <f>IF(G188="Buy",((I188/N188)*H188*O188),((I188/N188)*-H188*O188))</f>
        <v>210000</v>
      </c>
      <c r="Q188" s="57">
        <f>P188/'Master P&amp;L'!$AD$5*10000</f>
        <v>0.93498094928231101</v>
      </c>
      <c r="R188" s="36" t="e" cm="1">
        <f t="array" ref="R188">_xll.BDP($C188&amp;" Equity","EST_PE_NXT_YR")*(T188/S188)</f>
        <v>#VALUE!</v>
      </c>
      <c r="S188" s="35" cm="1">
        <f t="array" ref="S188">_xll.BDP(C188&amp;" Equity","LAST_PRICE")</f>
        <v>616.52</v>
      </c>
      <c r="T188" s="52" cm="1">
        <f t="array" ref="T188">_xll.BDP(B188&amp;" Equity","OPT_STRIKE_PX")</f>
        <v>624</v>
      </c>
      <c r="U188" s="39">
        <f>T188/S188-1</f>
        <v>1.2132615324725871E-2</v>
      </c>
      <c r="V188" s="36" cm="1">
        <f t="array" ref="V188">_xll.BDP(B188&amp;" Equity","ivol_mid")</f>
        <v>20.547059999999998</v>
      </c>
      <c r="W188" s="37" cm="1">
        <f t="array" ref="W188">_xll.BDP(B188&amp;" Equity","DELTA_MID_RT")</f>
        <v>-0.71416974067687988</v>
      </c>
      <c r="X188" s="47">
        <f>Y188/'Master P&amp;L'!$AE$5</f>
        <v>-3.4306003761544672E-3</v>
      </c>
      <c r="Y188" s="15">
        <f>IF(G188="Sell", S188*W188*-H188*O188/N188, S188*W188*H188*O188/N188)</f>
        <v>-7705248.7491369247</v>
      </c>
      <c r="Z188" s="15" cm="1">
        <f t="array" ref="Z188">_xll.BDP($B188&amp;" Equity","opt_theta")*H188*O188/N188</f>
        <v>-9491.8250000000007</v>
      </c>
      <c r="AA188" s="18" cm="1">
        <f t="array" ref="AA188">_xll.BDP($B188&amp;" Equity","opt_theta")/I188</f>
        <v>-4.5199166666666672E-2</v>
      </c>
      <c r="AB188" s="35" t="str" cm="1">
        <f t="array" ref="AB188">_xll.BDP($C188&amp;" Equity","EXPECTED_REPORT_DT")</f>
        <v>#N/A N/A</v>
      </c>
      <c r="AC188" s="15">
        <f>S188*H188*O188/N188</f>
        <v>10789100</v>
      </c>
      <c r="AD188" s="18">
        <f>AC188/'Master P&amp;L'!$AE$5</f>
        <v>4.8036204570960864E-3</v>
      </c>
      <c r="AE188" t="str">
        <f>B188  &amp; " -&gt; Sell to open " &amp;   H188 &amp;"x"</f>
        <v>QQQ US 02/06/26 P624 -&gt; Sell to open 175x</v>
      </c>
    </row>
    <row r="189" spans="1:37">
      <c r="H189" s="99" t="s">
        <v>116</v>
      </c>
      <c r="I189" s="101">
        <f>I187-I186-I188</f>
        <v>-11.79</v>
      </c>
      <c r="J189" s="99" t="s">
        <v>249</v>
      </c>
      <c r="K189" s="100">
        <f>K188/L187</f>
        <v>24.206896551724139</v>
      </c>
      <c r="P189" s="129">
        <f>P187+P188+P186</f>
        <v>206325</v>
      </c>
      <c r="Q189" s="57">
        <f>P189/'Master P&amp;L'!$AD$5*10000</f>
        <v>0.91861878266987052</v>
      </c>
      <c r="S189" s="99" t="s">
        <v>251</v>
      </c>
      <c r="T189" s="101"/>
      <c r="W189" s="99" t="s">
        <v>252</v>
      </c>
      <c r="X189" s="121">
        <f>X187+X188+X186</f>
        <v>-3.6410440835511074E-3</v>
      </c>
      <c r="AC189" s="99" t="s">
        <v>229</v>
      </c>
      <c r="AD189" s="121">
        <f>AD187</f>
        <v>4.8036204570960864E-3</v>
      </c>
    </row>
    <row r="190" spans="1:37">
      <c r="H190" s="99" t="s">
        <v>253</v>
      </c>
      <c r="I190" s="101"/>
      <c r="J190" s="99" t="s">
        <v>145</v>
      </c>
      <c r="K190" s="108">
        <f>-AVERAGE(K186:L186)+AVERAGE(K187:L187)-AVERAGE(K188:L188)</f>
        <v>-9.2899999999999991</v>
      </c>
      <c r="P190" s="99"/>
      <c r="Q190" s="107"/>
      <c r="S190" s="99"/>
      <c r="T190" s="101"/>
      <c r="W190" s="99"/>
      <c r="X190" s="121"/>
      <c r="Y190" s="13">
        <f>(Y186+Y187+Y188)/S187</f>
        <v>-13264.634879305959</v>
      </c>
      <c r="AC190" s="99"/>
      <c r="AD190" s="103"/>
    </row>
    <row r="191" spans="1:37">
      <c r="B191" s="262">
        <f>(H187*100*(T186-T187)+P189)/'Master P&amp;L'!$AD$5*10000</f>
        <v>1.3861092573110261</v>
      </c>
      <c r="D191" s="63"/>
      <c r="H191" s="95"/>
      <c r="I191" s="63">
        <f>I187-I186</f>
        <v>0.21000000000000002</v>
      </c>
      <c r="K191" s="63"/>
      <c r="N191" s="35"/>
      <c r="O191" s="161"/>
      <c r="P191" s="15"/>
      <c r="Q191" s="57"/>
    </row>
    <row r="192" spans="1:37">
      <c r="D192" s="63"/>
      <c r="E192" s="128"/>
    </row>
    <row r="193" spans="1:37">
      <c r="D193" s="63"/>
      <c r="I193" s="63">
        <f>I196-I197</f>
        <v>5.53</v>
      </c>
      <c r="Q193" s="63">
        <f>Q196+Q197</f>
        <v>0.36931747496651279</v>
      </c>
    </row>
    <row r="194" spans="1:37">
      <c r="A194">
        <v>300</v>
      </c>
      <c r="H194" s="270">
        <v>1</v>
      </c>
      <c r="I194" s="128">
        <f>(I196-I195)/I197</f>
        <v>1.2020905923344949</v>
      </c>
      <c r="K194" s="128"/>
      <c r="Q194" s="128">
        <f>(Q196+Q195)/Q197</f>
        <v>-1.2020905923344947</v>
      </c>
    </row>
    <row r="195" spans="1:37">
      <c r="A195" s="232">
        <v>1</v>
      </c>
      <c r="B195" s="131" t="s">
        <v>2325</v>
      </c>
      <c r="C195" t="str" cm="1">
        <f t="array" ref="C195">_xll.BDP(B195&amp;" Equity","OPT_UNDL_TICKER")</f>
        <v>INTC US</v>
      </c>
      <c r="D195" t="str" cm="1">
        <f t="array" ref="D195">_xll.BDP($B195&amp;" Index","mifid_Maturity_date")</f>
        <v>#N/A Invalid Security</v>
      </c>
      <c r="E195" t="str" cm="1">
        <f t="array" ref="E195">_xll.BDP($B195&amp;" Index","opt_days_expire")</f>
        <v>#N/A Invalid Security</v>
      </c>
      <c r="F195" t="str" cm="1">
        <f t="array" ref="F195">_xll.BDP(B195&amp;" Equity","QUOTED_CURRENCY_REALTIME")</f>
        <v>USD</v>
      </c>
      <c r="G195" s="104" t="s">
        <v>248</v>
      </c>
      <c r="H195" s="130">
        <f>H194*H196</f>
        <v>150</v>
      </c>
      <c r="I195" s="96">
        <f>IF(G195="Buy",L195,K195)</f>
        <v>4.95</v>
      </c>
      <c r="J195" s="18">
        <f>I195/S195</f>
        <v>0.10050761421319797</v>
      </c>
      <c r="K195" s="35" cm="1">
        <f t="array" ref="K195">_xll.BDP($B195&amp;" Equity","bid")</f>
        <v>4.95</v>
      </c>
      <c r="L195" s="35" cm="1">
        <f t="array" ref="L195">_xll.BDP($B195&amp;" Equity","ask")</f>
        <v>5.35</v>
      </c>
      <c r="M195" s="39">
        <f>(L195/K195-1)</f>
        <v>8.0808080808080662E-2</v>
      </c>
      <c r="N195" s="35" cm="1">
        <f t="array" ref="N195">_xll.BDP(F195&amp;" Curncy","PX_LAST")</f>
        <v>1</v>
      </c>
      <c r="O195" s="161" cm="1">
        <f t="array" ref="O195">_xll.BDP(B195&amp;" Equity","OPT_MULTIPLIER")</f>
        <v>100</v>
      </c>
      <c r="P195" s="15">
        <f>IF(G195="Buy",((I195/N195)*H195*O195),((I195/N195)*-H195*O195))</f>
        <v>-74250</v>
      </c>
      <c r="Q195" s="57">
        <f>P195/'Master P&amp;L'!$AD$5*10000</f>
        <v>-0.33058254992481712</v>
      </c>
      <c r="R195" s="36" cm="1">
        <f t="array" ref="R195">_xll.BDP($C195&amp;" Equity","EST_PE_NXT_YR")*(T195/S195)</f>
        <v>59.542540497906856</v>
      </c>
      <c r="S195" s="35" cm="1">
        <f t="array" ref="S195">_xll.BDP(C195&amp;" Equity","LAST_PRICE")</f>
        <v>49.25</v>
      </c>
      <c r="T195" s="52" cm="1">
        <f t="array" ref="T195">_xll.BDP(B195&amp;" Equity","OPT_STRIKE_PX")</f>
        <v>60</v>
      </c>
      <c r="U195" s="39">
        <f>T195/S195-1</f>
        <v>0.218274111675127</v>
      </c>
      <c r="V195" s="36" cm="1">
        <f t="array" ref="V195">_xll.BDP($B195&amp;" Equity","ivol_mid")</f>
        <v>63.420490000000001</v>
      </c>
      <c r="W195" s="37" cm="1">
        <f t="array" ref="W195">_xll.BDP(B195&amp;" Equity","DELTA_MID_RT")</f>
        <v>0.41837182641029358</v>
      </c>
      <c r="X195" s="47">
        <f>Y195/'Master P&amp;L'!$AE$5</f>
        <v>-1.3760790789247123E-4</v>
      </c>
      <c r="Y195" s="15">
        <f>IF(G195="Sell", S195*W195*-H195*O195/N195, S195*W195*H195*O195/N195)</f>
        <v>-309072.18676060438</v>
      </c>
      <c r="Z195" s="15" cm="1">
        <f t="array" ref="Z195">_xll.BDP($B195&amp;" Equity","opt_theta")*H195*O195/N195</f>
        <v>-360.99</v>
      </c>
      <c r="AA195" s="18" cm="1">
        <f t="array" ref="AA195">_xll.BDP($B195&amp;" Equity","opt_theta")/I195</f>
        <v>-4.8618181818181816E-3</v>
      </c>
      <c r="AB195" s="35" t="str" cm="1">
        <f t="array" ref="AB195">_xll.BDP($C195&amp;" Equity","EXPECTED_REPORT_DT")</f>
        <v>24/04/2026</v>
      </c>
      <c r="AC195" s="15">
        <f>S195*H195*O195/N195</f>
        <v>738750</v>
      </c>
      <c r="AD195" s="18">
        <f>AC195/'Master P&amp;L'!$AE$5</f>
        <v>3.2891294108681297E-4</v>
      </c>
      <c r="AE195" t="str">
        <f>B195  &amp; " - Buy to open " &amp;  "-" &amp; H195 &amp;"x"</f>
        <v>INTC US 07/17/26 C60 - Buy to open -150x</v>
      </c>
      <c r="AK195" s="58" t="s">
        <v>1813</v>
      </c>
    </row>
    <row r="196" spans="1:37">
      <c r="A196" s="232">
        <v>2</v>
      </c>
      <c r="B196" s="131" t="s">
        <v>2324</v>
      </c>
      <c r="C196" t="str" cm="1">
        <f t="array" ref="C196">_xll.BDP(B196&amp;" Equity","OPT_UNDL_TICKER")</f>
        <v>INTC US</v>
      </c>
      <c r="D196" t="str" cm="1">
        <f t="array" ref="D196">_xll.BDP($B196&amp;" Index","mifid_Maturity_date")</f>
        <v>#N/A Invalid Security</v>
      </c>
      <c r="E196" t="str" cm="1">
        <f t="array" ref="E196">_xll.BDP($B196&amp;" Index","opt_days_expire")</f>
        <v>#N/A Invalid Security</v>
      </c>
      <c r="F196" t="str" cm="1">
        <f t="array" ref="F196">_xll.BDP(B196&amp;" Equity","QUOTED_CURRENCY_REALTIME")</f>
        <v>USD</v>
      </c>
      <c r="G196" s="104" t="s">
        <v>247</v>
      </c>
      <c r="H196" s="130">
        <v>150</v>
      </c>
      <c r="I196" s="96">
        <f>IF(G196="Buy",L196,K196)</f>
        <v>8.4</v>
      </c>
      <c r="J196" s="18">
        <f>I196/S196</f>
        <v>0.17055837563451778</v>
      </c>
      <c r="K196" s="35" cm="1">
        <f t="array" ref="K196">_xll.BDP($B196&amp;" Equity","bid")</f>
        <v>8</v>
      </c>
      <c r="L196" s="35" cm="1">
        <f t="array" ref="L196">_xll.BDP($B196&amp;" Equity","ask")</f>
        <v>8.4</v>
      </c>
      <c r="M196" s="39">
        <f>(L196/K196-1)</f>
        <v>5.0000000000000044E-2</v>
      </c>
      <c r="N196" s="35" cm="1">
        <f t="array" ref="N196">_xll.BDP(F196&amp;" Curncy","PX_LAST")</f>
        <v>1</v>
      </c>
      <c r="O196" s="161" cm="1">
        <f t="array" ref="O196">_xll.BDP(B196&amp;" Equity","OPT_MULTIPLIER")</f>
        <v>100</v>
      </c>
      <c r="P196" s="15">
        <f>IF(G196="Buy",((I196/N196)*H196*O196),((I196/N196)*-H196*O196))</f>
        <v>126000</v>
      </c>
      <c r="Q196" s="57">
        <f>P196/'Master P&amp;L'!$AD$5*10000</f>
        <v>0.56098856956938659</v>
      </c>
      <c r="R196" s="36" cm="1">
        <f t="array" ref="R196">_xll.BDP($C196&amp;" Equity","EST_PE_NXT_YR")*(T196/S196)</f>
        <v>49.618783748255709</v>
      </c>
      <c r="S196" s="35">
        <f>_xll.BDP(C196&amp;" Equity","LAST_PRICE")</f>
        <v>49.25</v>
      </c>
      <c r="T196" s="52" cm="1">
        <f t="array" ref="T196">_xll.BDP(B196&amp;" Equity","OPT_STRIKE_PX")</f>
        <v>50</v>
      </c>
      <c r="U196" s="39">
        <f>T196/S196-1</f>
        <v>1.5228426395939021E-2</v>
      </c>
      <c r="V196" s="36" cm="1">
        <f t="array" ref="V196">_xll.BDP($B196&amp;" Equity","ivol_mid")</f>
        <v>62.003700000000002</v>
      </c>
      <c r="W196" s="37" cm="1">
        <f t="array" ref="W196">_xll.BDP(B196&amp;" Equity","DELTA_MID_RT")</f>
        <v>0.58388292789459229</v>
      </c>
      <c r="X196" s="47">
        <f>Y196/'Master P&amp;L'!$AE$5</f>
        <v>1.9204665106418992E-4</v>
      </c>
      <c r="Y196" s="15">
        <f>IF(G196="Sell", S196*W196*-H196*O196/N196, S196*W196*H196*O196/N196)</f>
        <v>431343.51298213005</v>
      </c>
      <c r="Z196" s="15" cm="1">
        <f t="array" ref="Z196">_xll.BDP($B196&amp;" Equity","opt_theta")*H196*O196/N196</f>
        <v>-356.88</v>
      </c>
      <c r="AA196" s="18" cm="1">
        <f t="array" ref="AA196">_xll.BDP($B196&amp;" Equity","opt_theta")/I196</f>
        <v>-2.8323809523809525E-3</v>
      </c>
      <c r="AB196" s="35" t="str" cm="1">
        <f t="array" ref="AB196">_xll.BDP($C196&amp;" Equity","EXPECTED_REPORT_DT")</f>
        <v>24/04/2026</v>
      </c>
      <c r="AC196" s="15">
        <f>S196*H196*O196/N196</f>
        <v>738750</v>
      </c>
      <c r="AD196" s="18">
        <f>AC196/'Master P&amp;L'!$AE$5</f>
        <v>3.2891294108681297E-4</v>
      </c>
      <c r="AE196" t="str">
        <f>B196  &amp; " - Buy to open " &amp;  "-" &amp; H196 &amp;"x"</f>
        <v>INTC US 07/17/26 C50 - Buy to open -150x</v>
      </c>
      <c r="AK196" s="58" t="s">
        <v>1813</v>
      </c>
    </row>
    <row r="197" spans="1:37">
      <c r="A197" s="232">
        <v>2</v>
      </c>
      <c r="B197" s="131" t="s">
        <v>2323</v>
      </c>
      <c r="C197" t="str" cm="1">
        <f t="array" ref="C197">_xll.BDP(B197&amp;" Equity","OPT_UNDL_TICKER")</f>
        <v>INTC US</v>
      </c>
      <c r="D197" t="str" cm="1">
        <f t="array" ref="D197">_xll.BDP($B197&amp;" Index","mifid_Maturity_date")</f>
        <v>#N/A Invalid Security</v>
      </c>
      <c r="E197" t="str" cm="1">
        <f t="array" ref="E197">_xll.BDP($B197&amp;" Index","opt_days_expire")</f>
        <v>#N/A Invalid Security</v>
      </c>
      <c r="F197" t="str" cm="1">
        <f t="array" ref="F197">_xll.BDP(B197&amp;" Equity","QUOTED_CURRENCY_REALTIME")</f>
        <v>USD</v>
      </c>
      <c r="G197" s="104" t="s">
        <v>248</v>
      </c>
      <c r="H197" s="130">
        <f>H196</f>
        <v>150</v>
      </c>
      <c r="I197" s="96">
        <f>IF(G197="Buy",L197,K197)</f>
        <v>2.87</v>
      </c>
      <c r="J197" s="18">
        <f>I197/S197</f>
        <v>5.8274111675126902E-2</v>
      </c>
      <c r="K197" s="35" cm="1">
        <f t="array" ref="K197">_xll.BDP($B197&amp;" Equity","bid")</f>
        <v>2.87</v>
      </c>
      <c r="L197" s="35" cm="1">
        <f t="array" ref="L197">_xll.BDP($B197&amp;" Equity","ask")</f>
        <v>3.35</v>
      </c>
      <c r="M197" s="39">
        <f>(L197/K197-1)</f>
        <v>0.16724738675958184</v>
      </c>
      <c r="N197" s="35" cm="1">
        <f t="array" ref="N197">_xll.BDP(F197&amp;" Curncy","PX_LAST")</f>
        <v>1</v>
      </c>
      <c r="O197" s="161" cm="1">
        <f t="array" ref="O197">_xll.BDP(B197&amp;" Equity","OPT_MULTIPLIER")</f>
        <v>100</v>
      </c>
      <c r="P197" s="15">
        <f>IF(G197="Buy",((I197/N197)*H197*O197),((I197/N197)*-H197*O197))</f>
        <v>-43050</v>
      </c>
      <c r="Q197" s="57">
        <f>P197/'Master P&amp;L'!$AD$5*10000</f>
        <v>-0.19167109460287376</v>
      </c>
      <c r="R197" s="36" cm="1">
        <f t="array" ref="R197">_xll.BDP($C197&amp;" Equity","EST_PE_NXT_YR")*(T197/S197)</f>
        <v>39.695026998604568</v>
      </c>
      <c r="S197" s="35" cm="1">
        <f t="array" ref="S197">_xll.BDP(C197&amp;" Equity","LAST_PRICE")</f>
        <v>49.25</v>
      </c>
      <c r="T197" s="52" cm="1">
        <f t="array" ref="T197">_xll.BDP(B197&amp;" Equity","OPT_STRIKE_PX")</f>
        <v>40</v>
      </c>
      <c r="U197" s="39">
        <f>T197/S197-1</f>
        <v>-0.18781725888324874</v>
      </c>
      <c r="V197" s="36" cm="1">
        <f t="array" ref="V197">_xll.BDP($B197&amp;" Equity","ivol_mid")</f>
        <v>60.236840000000001</v>
      </c>
      <c r="W197" s="37" cm="1">
        <f t="array" ref="W197">_xll.BDP(B197&amp;" Equity","DELTA_MID_RT")</f>
        <v>-0.22502721846103668</v>
      </c>
      <c r="X197" s="47">
        <f>Y197/'Master P&amp;L'!$AE$5</f>
        <v>7.4014364248604355E-5</v>
      </c>
      <c r="Y197" s="15">
        <f>IF(G197="Sell", S197*W197*-H197*O197/N197, S197*W197*H197*O197/N197)</f>
        <v>166238.85763809085</v>
      </c>
      <c r="Z197" s="15" cm="1">
        <f t="array" ref="Z197">_xll.BDP($B197&amp;" Equity","opt_theta")*H197*O197/N197</f>
        <v>-271.57499999999999</v>
      </c>
      <c r="AA197" s="18" cm="1">
        <f t="array" ref="AA197">_xll.BDP($B197&amp;" Equity","opt_theta")/I197</f>
        <v>-6.3083623693379791E-3</v>
      </c>
      <c r="AB197" s="35" t="str" cm="1">
        <f t="array" ref="AB197">_xll.BDP($C197&amp;" Equity","EXPECTED_REPORT_DT")</f>
        <v>24/04/2026</v>
      </c>
      <c r="AC197" s="15">
        <f>S197*H197*O197/N197</f>
        <v>738750</v>
      </c>
      <c r="AD197" s="18">
        <f>AC197/'Master P&amp;L'!$AE$5</f>
        <v>3.2891294108681297E-4</v>
      </c>
      <c r="AE197" t="str">
        <f>B197  &amp; " - Buy to open " &amp;  "-" &amp; H197 &amp;"x"</f>
        <v>INTC US 07/17/26 P40 - Buy to open -150x</v>
      </c>
      <c r="AK197" s="58" t="s">
        <v>1813</v>
      </c>
    </row>
    <row r="198" spans="1:37">
      <c r="H198" s="99" t="s">
        <v>116</v>
      </c>
      <c r="I198" s="101">
        <f>I196-I195-I197</f>
        <v>0.58000000000000007</v>
      </c>
      <c r="J198" s="99" t="s">
        <v>249</v>
      </c>
      <c r="K198" s="100">
        <f>K197/L196</f>
        <v>0.34166666666666667</v>
      </c>
      <c r="P198" s="129">
        <f>P196+P197+P195</f>
        <v>8700</v>
      </c>
      <c r="Q198" s="57">
        <f>P198/'Master P&amp;L'!$AD$5*10000</f>
        <v>3.8734925041695747E-2</v>
      </c>
      <c r="S198" s="99" t="s">
        <v>251</v>
      </c>
      <c r="T198" s="101"/>
      <c r="W198" s="99" t="s">
        <v>252</v>
      </c>
      <c r="X198" s="121">
        <f>X196+X197+X195</f>
        <v>1.2845310742032304E-4</v>
      </c>
      <c r="AC198" s="99" t="s">
        <v>229</v>
      </c>
      <c r="AD198" s="121">
        <f>AD196</f>
        <v>3.2891294108681297E-4</v>
      </c>
    </row>
    <row r="199" spans="1:37">
      <c r="H199" s="99" t="s">
        <v>253</v>
      </c>
      <c r="I199" s="101"/>
      <c r="J199" s="99" t="s">
        <v>145</v>
      </c>
      <c r="K199" s="108">
        <f>-AVERAGE(K195:L195)+AVERAGE(K196:L196)-AVERAGE(K197:L197)</f>
        <v>-6.0000000000001386E-2</v>
      </c>
      <c r="P199" s="99"/>
      <c r="Q199" s="107"/>
      <c r="S199" s="99"/>
      <c r="T199" s="101"/>
      <c r="W199" s="99"/>
      <c r="X199" s="121"/>
      <c r="Y199" s="13">
        <f>(Y195+Y196+Y197)/S196</f>
        <v>5858.0747991800308</v>
      </c>
      <c r="AC199" s="99"/>
      <c r="AD199" s="103"/>
    </row>
    <row r="200" spans="1:37">
      <c r="D200" s="63"/>
      <c r="H200" s="95">
        <v>186</v>
      </c>
      <c r="I200" s="63">
        <f>(I196*A196)-(I197*A197)-(I195*A195)</f>
        <v>6.11</v>
      </c>
      <c r="K200" s="63"/>
      <c r="N200" s="35"/>
      <c r="O200" s="161"/>
      <c r="P200" s="15"/>
      <c r="Q200" s="57"/>
      <c r="X200" s="70">
        <f>AD198+X198</f>
        <v>4.5736604850713598E-4</v>
      </c>
    </row>
    <row r="201" spans="1:37">
      <c r="I201" s="63"/>
      <c r="K201" s="63"/>
    </row>
    <row r="202" spans="1:37">
      <c r="H202" s="270">
        <v>1</v>
      </c>
      <c r="I202" s="63">
        <f>I204-I205</f>
        <v>1.0900000000000003</v>
      </c>
      <c r="K202" s="63"/>
      <c r="Q202" s="128">
        <f>(Q204+Q203)/Q205</f>
        <v>1.5422885572139307</v>
      </c>
    </row>
    <row r="203" spans="1:37">
      <c r="A203" s="232"/>
      <c r="G203" s="104"/>
      <c r="H203" s="130"/>
      <c r="I203" s="96"/>
      <c r="J203" s="18"/>
      <c r="K203" s="35">
        <v>0</v>
      </c>
      <c r="L203" s="35">
        <v>0</v>
      </c>
      <c r="M203" s="39"/>
      <c r="N203" s="35"/>
      <c r="O203" s="161"/>
      <c r="P203" s="15"/>
      <c r="Q203" s="57"/>
      <c r="R203" s="36"/>
      <c r="S203" s="35"/>
      <c r="T203" s="52"/>
      <c r="U203" s="39"/>
      <c r="V203" s="36"/>
      <c r="W203" s="37"/>
      <c r="X203" s="47"/>
      <c r="Y203" s="15"/>
      <c r="Z203" s="15"/>
      <c r="AA203" s="18"/>
      <c r="AB203" s="35"/>
      <c r="AC203" s="15"/>
      <c r="AD203" s="18"/>
      <c r="AK203" s="58"/>
    </row>
    <row r="204" spans="1:37">
      <c r="A204" s="232"/>
      <c r="B204" t="s">
        <v>2495</v>
      </c>
      <c r="C204" t="str" cm="1">
        <f t="array" ref="C204">_xll.BDP(B204&amp;" Equity","OPT_UNDL_TICKER")</f>
        <v>NFLX US</v>
      </c>
      <c r="D204" t="str" cm="1">
        <f t="array" ref="D204">_xll.BDP($B204&amp;" Index","mifid_Maturity_date")</f>
        <v>15/05/2026</v>
      </c>
      <c r="E204" cm="1">
        <f t="array" ref="E204">_xll.BDP($B204&amp;" Index","opt_days_expire")</f>
        <v>101</v>
      </c>
      <c r="F204" t="str" cm="1">
        <f t="array" ref="F204">_xll.BDP(B204&amp;" Equity","QUOTED_CURRENCY_REALTIME")</f>
        <v>USD</v>
      </c>
      <c r="G204" s="104" t="s">
        <v>248</v>
      </c>
      <c r="H204" s="130">
        <v>135</v>
      </c>
      <c r="I204" s="96">
        <f>IF(G204="Buy",L204,K204)</f>
        <v>3.1</v>
      </c>
      <c r="J204" s="18">
        <f>I204/S204</f>
        <v>3.8779084313234929E-2</v>
      </c>
      <c r="K204" s="35" cm="1">
        <f t="array" ref="K204">_xll.BDP($B204&amp;" Equity","bid")</f>
        <v>3.1</v>
      </c>
      <c r="L204" s="35" cm="1">
        <f t="array" ref="L204">_xll.BDP($B204&amp;" Equity","ask")</f>
        <v>3.25</v>
      </c>
      <c r="M204" s="39">
        <f>(L204/K204-1)</f>
        <v>4.8387096774193505E-2</v>
      </c>
      <c r="N204" s="35" cm="1">
        <f t="array" ref="N204">_xll.BDP(F204&amp;" Curncy","PX_LAST")</f>
        <v>1</v>
      </c>
      <c r="O204" s="161" cm="1">
        <f t="array" ref="O204">_xll.BDP(B204&amp;" Equity","OPT_MULTIPLIER")</f>
        <v>100</v>
      </c>
      <c r="P204" s="15">
        <f>IF(G204="Buy",((I204/N204)*H204*O204),((I204/N204)*-H204*O204))</f>
        <v>-41850</v>
      </c>
      <c r="Q204" s="57">
        <f>P204/'Master P&amp;L'!$AD$5*10000</f>
        <v>-0.18632834632126058</v>
      </c>
      <c r="R204" s="36" cm="1">
        <f t="array" ref="R204">_xll.BDP($C204&amp;" Equity","EST_PE_NXT_YR")*(T204/S204)</f>
        <v>23.652802743336114</v>
      </c>
      <c r="S204" s="35">
        <f>_xll.BDP(C204&amp;" Equity","LAST_PRICE")</f>
        <v>79.94</v>
      </c>
      <c r="T204" s="52" cm="1">
        <f t="array" ref="T204">_xll.BDP(B204&amp;" Equity","OPT_STRIKE_PX")</f>
        <v>90</v>
      </c>
      <c r="U204" s="39">
        <f>T204/S204-1</f>
        <v>0.12584438328746561</v>
      </c>
      <c r="V204" s="36" cm="1">
        <f t="array" ref="V204">_xll.BDP($B204&amp;" Equity","ivol_mid")</f>
        <v>37.38944</v>
      </c>
      <c r="W204" s="37" cm="1">
        <f t="array" ref="W204">_xll.BDP(B204&amp;" Equity","DELTA_MID_RT")</f>
        <v>0.33406877517700195</v>
      </c>
      <c r="X204" s="47">
        <f>Y204/'Master P&amp;L'!$AE$5</f>
        <v>-1.6051560664380007E-4</v>
      </c>
      <c r="Y204" s="15">
        <f>IF(G204="Sell", S204*W204*-H204*O204/N204, S204*W204*H204*O204/N204)</f>
        <v>-360523.68148326874</v>
      </c>
      <c r="Z204" s="15" cm="1">
        <f t="array" ref="Z204">_xll.BDP($B204&amp;" Equity","opt_theta")*H204*O204/N204</f>
        <v>-373.78800000000001</v>
      </c>
      <c r="AA204" s="18" cm="1">
        <f t="array" ref="AA204">_xll.BDP($B204&amp;" Equity","opt_theta")/I204</f>
        <v>-8.9316129032258069E-3</v>
      </c>
      <c r="AB204" s="35" t="str" cm="1">
        <f t="array" ref="AB204">_xll.BDP($C204&amp;" Equity","EXPECTED_REPORT_DT")</f>
        <v>17/04/2026</v>
      </c>
      <c r="AC204" s="15">
        <f>S204*H204*O204/N204</f>
        <v>1079190</v>
      </c>
      <c r="AD204" s="18">
        <f>AC204/'Master P&amp;L'!$AE$5</f>
        <v>4.8048670983617966E-4</v>
      </c>
      <c r="AE204" t="str">
        <f>B204  &amp; " - Buy to open " &amp;  "-" &amp; H204 &amp;"x"</f>
        <v>NFLX US 05/15/26 C90 - Buy to open -135x</v>
      </c>
      <c r="AK204" s="58" t="s">
        <v>1813</v>
      </c>
    </row>
    <row r="205" spans="1:37">
      <c r="A205" s="232"/>
      <c r="B205" t="s">
        <v>2496</v>
      </c>
      <c r="C205" t="str" cm="1">
        <f t="array" ref="C205">_xll.BDP(B205&amp;" Equity","OPT_UNDL_TICKER")</f>
        <v>NFLX US</v>
      </c>
      <c r="D205" t="str" cm="1">
        <f t="array" ref="D205">_xll.BDP($B205&amp;" Index","mifid_Maturity_date")</f>
        <v>15/05/2026</v>
      </c>
      <c r="E205" cm="1">
        <f t="array" ref="E205">_xll.BDP($B205&amp;" Index","opt_days_expire")</f>
        <v>101</v>
      </c>
      <c r="F205" t="str" cm="1">
        <f t="array" ref="F205">_xll.BDP(B205&amp;" Equity","QUOTED_CURRENCY_REALTIME")</f>
        <v>USD</v>
      </c>
      <c r="G205" s="104" t="s">
        <v>248</v>
      </c>
      <c r="H205" s="130">
        <f>H204</f>
        <v>135</v>
      </c>
      <c r="I205" s="96">
        <f>IF(G205="Buy",L205,K205)</f>
        <v>2.0099999999999998</v>
      </c>
      <c r="J205" s="18">
        <f>I205/S205</f>
        <v>2.5143857893420062E-2</v>
      </c>
      <c r="K205" s="35" cm="1">
        <f t="array" ref="K205">_xll.BDP($B205&amp;" Equity","bid")</f>
        <v>2.0099999999999998</v>
      </c>
      <c r="L205" s="35" cm="1">
        <f t="array" ref="L205">_xll.BDP($B205&amp;" Equity","ask")</f>
        <v>2.5299999999999998</v>
      </c>
      <c r="M205" s="39">
        <f>(L205/K205-1)</f>
        <v>0.25870646766169147</v>
      </c>
      <c r="N205" s="35" cm="1">
        <f t="array" ref="N205">_xll.BDP(F205&amp;" Curncy","PX_LAST")</f>
        <v>1</v>
      </c>
      <c r="O205" s="161" cm="1">
        <f t="array" ref="O205">_xll.BDP(B205&amp;" Equity","OPT_MULTIPLIER")</f>
        <v>100</v>
      </c>
      <c r="P205" s="15">
        <f>IF(G205="Buy",((I205/N205)*H205*O205),((I205/N205)*-H205*O205))</f>
        <v>-27134.999999999996</v>
      </c>
      <c r="Q205" s="57">
        <f>P205/'Master P&amp;L'!$AD$5*10000</f>
        <v>-0.12081289551797861</v>
      </c>
      <c r="R205" s="36" cm="1">
        <f t="array" ref="R205">_xll.BDP($C205&amp;" Equity","EST_PE_NXT_YR")*(T205/S205)</f>
        <v>18.39662435592809</v>
      </c>
      <c r="S205" s="35" cm="1">
        <f t="array" ref="S205">_xll.BDP(C205&amp;" Equity","LAST_PRICE")</f>
        <v>79.94</v>
      </c>
      <c r="T205" s="52" cm="1">
        <f t="array" ref="T205">_xll.BDP(B205&amp;" Equity","OPT_STRIKE_PX")</f>
        <v>70</v>
      </c>
      <c r="U205" s="39">
        <f>T205/S205-1</f>
        <v>-0.12434325744308228</v>
      </c>
      <c r="V205" s="36" cm="1">
        <f t="array" ref="V205">_xll.BDP($B205&amp;" Equity","ivol_mid")</f>
        <v>39.51146</v>
      </c>
      <c r="W205" s="37" cm="1">
        <f t="array" ref="W205">_xll.BDP(B205&amp;" Equity","DELTA_MID_RT")</f>
        <v>-0.21505105495452881</v>
      </c>
      <c r="X205" s="47">
        <f>Y205/'Master P&amp;L'!$AE$5</f>
        <v>1.03329173841901E-4</v>
      </c>
      <c r="Y205" s="15">
        <f>IF(G205="Sell", S205*W205*-H205*O205/N205, S205*W205*H205*O205/N205)</f>
        <v>232080.94799637792</v>
      </c>
      <c r="Z205" s="15" cm="1">
        <f t="array" ref="Z205">_xll.BDP($B205&amp;" Equity","opt_theta")*H205*O205/N205</f>
        <v>-319.85550000000001</v>
      </c>
      <c r="AA205" s="18" cm="1">
        <f t="array" ref="AA205">_xll.BDP($B205&amp;" Equity","opt_theta")/I205</f>
        <v>-1.1787562189054726E-2</v>
      </c>
      <c r="AB205" s="35" t="str" cm="1">
        <f t="array" ref="AB205">_xll.BDP($C205&amp;" Equity","EXPECTED_REPORT_DT")</f>
        <v>17/04/2026</v>
      </c>
      <c r="AC205" s="15">
        <f>S205*H205*O205/N205</f>
        <v>1079190</v>
      </c>
      <c r="AD205" s="18">
        <f>AC205/'Master P&amp;L'!$AE$5</f>
        <v>4.8048670983617966E-4</v>
      </c>
      <c r="AE205" t="str">
        <f>B205  &amp; " - Buy to open " &amp;  "-" &amp; H205 &amp;"x"</f>
        <v>NFLX US 05/15/26 P70 - Buy to open -135x</v>
      </c>
      <c r="AK205" s="58" t="s">
        <v>1813</v>
      </c>
    </row>
    <row r="206" spans="1:37">
      <c r="H206" s="99" t="s">
        <v>116</v>
      </c>
      <c r="I206" s="101">
        <f>I204-I203-I205</f>
        <v>1.0900000000000003</v>
      </c>
      <c r="J206" s="99" t="s">
        <v>249</v>
      </c>
      <c r="K206" s="100">
        <f>K205/L204</f>
        <v>0.6184615384615384</v>
      </c>
      <c r="P206" s="129">
        <f>P204+P205+P203</f>
        <v>-68985</v>
      </c>
      <c r="Q206" s="57">
        <f>P206/'Master P&amp;L'!$AD$5*10000</f>
        <v>-0.30714124183923919</v>
      </c>
      <c r="S206" s="99" t="s">
        <v>251</v>
      </c>
      <c r="T206" s="101"/>
      <c r="W206" s="99" t="s">
        <v>252</v>
      </c>
      <c r="X206" s="121">
        <f>X204+X205+X203</f>
        <v>-5.7186432801899074E-5</v>
      </c>
      <c r="AC206" s="99" t="s">
        <v>229</v>
      </c>
      <c r="AD206" s="121">
        <f>AD204</f>
        <v>4.8048670983617966E-4</v>
      </c>
    </row>
    <row r="207" spans="1:37">
      <c r="H207" s="99" t="s">
        <v>253</v>
      </c>
      <c r="I207" s="101"/>
      <c r="J207" s="99" t="s">
        <v>145</v>
      </c>
      <c r="K207" s="108">
        <f>-AVERAGE(K203:L203)+AVERAGE(K204:L204)-AVERAGE(K205:L205)</f>
        <v>0.90500000000000025</v>
      </c>
      <c r="P207" s="99"/>
      <c r="Q207" s="107"/>
      <c r="S207" s="99"/>
      <c r="T207" s="101"/>
      <c r="W207" s="99"/>
      <c r="X207" s="121"/>
      <c r="Y207" s="13">
        <f>(Y203+Y204+Y205)/S204</f>
        <v>-1606.7392230033879</v>
      </c>
      <c r="AC207" s="99"/>
      <c r="AD207" s="103"/>
    </row>
    <row r="208" spans="1:37">
      <c r="D208" s="63"/>
      <c r="H208" s="95"/>
      <c r="I208" s="63">
        <f>(I204*A204)-(I205*A205)-(I203*A203)</f>
        <v>0</v>
      </c>
      <c r="K208" s="63"/>
      <c r="N208" s="35"/>
      <c r="O208" s="161"/>
      <c r="P208" s="15">
        <v>26250</v>
      </c>
      <c r="Q208" s="57"/>
      <c r="S208">
        <v>51.35</v>
      </c>
      <c r="X208" s="70">
        <f>AD206+X206</f>
        <v>4.233002770342806E-4</v>
      </c>
    </row>
    <row r="209" spans="1:37">
      <c r="B209" s="58"/>
    </row>
    <row r="210" spans="1:37">
      <c r="A210">
        <v>300</v>
      </c>
      <c r="H210" s="270">
        <v>1</v>
      </c>
      <c r="I210" s="63">
        <f>I212+I214-I211-I213</f>
        <v>4.2899999999999991</v>
      </c>
      <c r="K210" s="128"/>
      <c r="W210" s="49">
        <f>W212-W211+W214-W213</f>
        <v>-0.25969629734754562</v>
      </c>
    </row>
    <row r="211" spans="1:37">
      <c r="A211" s="232">
        <v>9</v>
      </c>
      <c r="B211" t="s">
        <v>2440</v>
      </c>
      <c r="C211" t="str" cm="1">
        <f t="array" ref="C211">_xll.BDP(B211&amp;" Equity","OPT_UNDL_TICKER")</f>
        <v>MSFT US</v>
      </c>
      <c r="D211" s="63"/>
      <c r="E211" cm="1">
        <f t="array" ref="E211">_xll.BDP($B211&amp;" Index","opt_days_expire")</f>
        <v>17</v>
      </c>
      <c r="F211" t="str" cm="1">
        <f t="array" ref="F211">_xll.BDP(B211&amp;" Equity","QUOTED_CURRENCY_REALTIME")</f>
        <v>USD</v>
      </c>
      <c r="G211" s="104" t="s">
        <v>247</v>
      </c>
      <c r="H211" s="130">
        <f>H212</f>
        <v>200</v>
      </c>
      <c r="I211" s="96">
        <f>IF(G211="Buy",L211,K211)</f>
        <v>1.06</v>
      </c>
      <c r="J211" s="18">
        <f>I211/S211</f>
        <v>2.577758322997982E-3</v>
      </c>
      <c r="K211" s="35" cm="1">
        <f t="array" ref="K211">_xll.BDP($B211&amp;" Equity","bid")</f>
        <v>1.03</v>
      </c>
      <c r="L211" s="35" cm="1">
        <f t="array" ref="L211">_xll.BDP($B211&amp;" Equity","ask")</f>
        <v>1.06</v>
      </c>
      <c r="M211" s="39">
        <f>(L211/K211-1)</f>
        <v>2.9126213592232997E-2</v>
      </c>
      <c r="N211" s="35" cm="1">
        <f t="array" ref="N211">_xll.BDP(F211&amp;" Curncy","PX_LAST")</f>
        <v>1</v>
      </c>
      <c r="O211" s="161" cm="1">
        <f t="array" ref="O211">_xll.BDP(B211&amp;" Equity","OPT_MULTIPLIER")</f>
        <v>100</v>
      </c>
      <c r="P211" s="15">
        <f>IF(G211="Buy",((I211/N211)*H211*O211),((I211/N211)*-H211*O211))</f>
        <v>21200</v>
      </c>
      <c r="Q211" s="57">
        <f>P211/'Master P&amp;L'!$AD$5*10000</f>
        <v>9.4388552975166642E-2</v>
      </c>
      <c r="R211" s="36" cm="1">
        <f t="array" ref="R211">_xll.BDP($C211&amp;" Equity","EST_PE_NXT_YR")*(T211/S211)</f>
        <v>23.371003031768826</v>
      </c>
      <c r="S211" s="35" cm="1">
        <f t="array" ref="S211">_xll.BDP(C211&amp;" Equity","LAST_PRICE")</f>
        <v>411.21</v>
      </c>
      <c r="T211" s="52" cm="1">
        <f t="array" ref="T211">_xll.BDP(B211&amp;" Equity","OPT_STRIKE_PX")</f>
        <v>445</v>
      </c>
      <c r="U211" s="39">
        <f>T211/S211-1</f>
        <v>8.2172126164246961E-2</v>
      </c>
      <c r="V211" s="36" cm="1">
        <f t="array" ref="V211">_xll.BDP($B211&amp;" Equity","ivol_mid")</f>
        <v>27.205390000000001</v>
      </c>
      <c r="W211" s="37" cm="1">
        <f t="array" ref="W211">_xll.BDP(B211&amp;" Equity","DELTA_MID_RT")</f>
        <v>9.4434373080730438E-2</v>
      </c>
      <c r="X211" s="47">
        <f>Y211/'Master P&amp;L'!$AE$5</f>
        <v>3.4578586156364647E-4</v>
      </c>
      <c r="Y211" s="15">
        <f>IF(G211="Sell", S211*W211*-H211*O211/N211, S211*W211*H211*O211/N211)</f>
        <v>776647.17109054327</v>
      </c>
      <c r="Z211" s="15" cm="1">
        <f t="array" ref="Z211">_xll.BDP($B211&amp;" Equity","opt_theta")*H211*O211/N211</f>
        <v>-2332.92</v>
      </c>
      <c r="AA211" s="18" cm="1">
        <f t="array" ref="AA211">_xll.BDP($B211&amp;" Equity","opt_theta")/I211</f>
        <v>-0.11004339622641508</v>
      </c>
      <c r="AB211" s="35" t="str" cm="1">
        <f t="array" ref="AB211">_xll.BDP($C211&amp;" Equity","EXPECTED_REPORT_DT")</f>
        <v>30/04/2026</v>
      </c>
      <c r="AC211" s="15">
        <f>S211*H211*O211/N211</f>
        <v>8224200</v>
      </c>
      <c r="AD211" s="18">
        <f>AC211/'Master P&amp;L'!$AE$5</f>
        <v>3.6616525348036107E-3</v>
      </c>
      <c r="AE211" t="s">
        <v>1875</v>
      </c>
      <c r="AK211" t="s">
        <v>1791</v>
      </c>
    </row>
    <row r="212" spans="1:37">
      <c r="A212" s="232">
        <v>3</v>
      </c>
      <c r="B212" t="s">
        <v>2438</v>
      </c>
      <c r="C212" t="str" cm="1">
        <f t="array" ref="C212">_xll.BDP(B212&amp;" Equity","OPT_UNDL_TICKER")</f>
        <v>MSFT US</v>
      </c>
      <c r="D212" s="63"/>
      <c r="E212" cm="1">
        <f t="array" ref="E212">_xll.BDP($B212&amp;" Index","opt_days_expire")</f>
        <v>17</v>
      </c>
      <c r="F212" t="str" cm="1">
        <f t="array" ref="F212">_xll.BDP(B212&amp;" Equity","QUOTED_CURRENCY_REALTIME")</f>
        <v>USD</v>
      </c>
      <c r="G212" s="104" t="s">
        <v>248</v>
      </c>
      <c r="H212" s="130">
        <v>200</v>
      </c>
      <c r="I212" s="96">
        <f>IF(G212="Buy",L212,K212)</f>
        <v>14.45</v>
      </c>
      <c r="J212" s="18">
        <f>I212/S212</f>
        <v>3.5140196006906446E-2</v>
      </c>
      <c r="K212" s="35" cm="1">
        <f t="array" ref="K212">_xll.BDP($B212&amp;" Equity","bid")</f>
        <v>14.45</v>
      </c>
      <c r="L212" s="35" cm="1">
        <f t="array" ref="L212">_xll.BDP($B212&amp;" Equity","ask")</f>
        <v>14.55</v>
      </c>
      <c r="M212" s="39">
        <f>(L212/K212-1)</f>
        <v>6.9204152249136008E-3</v>
      </c>
      <c r="N212" s="35" cm="1">
        <f t="array" ref="N212">_xll.BDP(F212&amp;" Curncy","PX_LAST")</f>
        <v>1</v>
      </c>
      <c r="O212" s="161" cm="1">
        <f t="array" ref="O212">_xll.BDP(B212&amp;" Equity","OPT_MULTIPLIER")</f>
        <v>100</v>
      </c>
      <c r="P212" s="15">
        <f>IF(G212="Buy",((I212/N212)*H212*O212),((I212/N212)*-H212*O212))</f>
        <v>-289000</v>
      </c>
      <c r="Q212" s="57">
        <f>P212/'Master P&amp;L'!$AD$5*10000</f>
        <v>-1.2867118778218469</v>
      </c>
      <c r="R212" s="36" cm="1">
        <f t="array" ref="R212">_xll.BDP($C212&amp;" Equity","EST_PE_NXT_YR")*(T212/S212)</f>
        <v>22.058025333354845</v>
      </c>
      <c r="S212" s="35" cm="1">
        <f t="array" ref="S212">_xll.BDP(C212&amp;" Equity","LAST_PRICE")</f>
        <v>411.21</v>
      </c>
      <c r="T212" s="52" cm="1">
        <f t="array" ref="T212">_xll.BDP(B212&amp;" Equity","OPT_STRIKE_PX")</f>
        <v>420</v>
      </c>
      <c r="U212" s="39">
        <f>T212/S212-1</f>
        <v>2.1375939301087055E-2</v>
      </c>
      <c r="V212" s="36" cm="1">
        <f t="array" ref="V212">_xll.BDP($B212&amp;" Equity","ivol_mid")</f>
        <v>26.53623</v>
      </c>
      <c r="W212" s="37" cm="1">
        <f t="array" ref="W212">_xll.BDP(B212&amp;" Equity","DELTA_MID_RT")</f>
        <v>-0.63361263275146484</v>
      </c>
      <c r="X212" s="47">
        <f>Y212/'Master P&amp;L'!$AE$5</f>
        <v>2.3200693027979904E-3</v>
      </c>
      <c r="Y212" s="15">
        <f>IF(G212="Sell", S212*W212*-H212*O212/N212, S212*W212*H212*O212/N212)</f>
        <v>5210957.0142745972</v>
      </c>
      <c r="Z212" s="15" cm="1">
        <f t="array" ref="Z212">_xll.BDP($B212&amp;" Equity","opt_theta")*H212*O212/N212</f>
        <v>-5000.8399999999992</v>
      </c>
      <c r="AA212" s="18" cm="1">
        <f t="array" ref="AA212">_xll.BDP($B212&amp;" Equity","opt_theta")/I212</f>
        <v>-1.7303944636678201E-2</v>
      </c>
      <c r="AB212" s="35" t="str" cm="1">
        <f t="array" ref="AB212">_xll.BDP($C212&amp;" Equity","EXPECTED_REPORT_DT")</f>
        <v>30/04/2026</v>
      </c>
      <c r="AC212" s="15">
        <f>S212*H212*O212/N212</f>
        <v>8224200</v>
      </c>
      <c r="AD212" s="47">
        <f>AC212/'Master P&amp;L'!$AE$5</f>
        <v>3.6616525348036107E-3</v>
      </c>
      <c r="AE212" t="s">
        <v>1876</v>
      </c>
      <c r="AK212" t="s">
        <v>1792</v>
      </c>
    </row>
    <row r="213" spans="1:37">
      <c r="A213" s="232">
        <v>20</v>
      </c>
      <c r="B213" t="s">
        <v>2439</v>
      </c>
      <c r="C213" t="str" cm="1">
        <f t="array" ref="C213">_xll.BDP(B213&amp;" Equity","OPT_UNDL_TICKER")</f>
        <v>MSFT US</v>
      </c>
      <c r="D213" s="63"/>
      <c r="E213" cm="1">
        <f t="array" ref="E213">_xll.BDP($B213&amp;" Index","opt_days_expire")</f>
        <v>17</v>
      </c>
      <c r="F213" t="str" cm="1">
        <f t="array" ref="F213">_xll.BDP(B213&amp;" Equity","QUOTED_CURRENCY_REALTIME")</f>
        <v>USD</v>
      </c>
      <c r="G213" s="104" t="s">
        <v>247</v>
      </c>
      <c r="H213" s="130">
        <v>200</v>
      </c>
      <c r="I213" s="96">
        <f>IF(G213="Buy",L213,K213)</f>
        <v>9.1</v>
      </c>
      <c r="J213" s="18">
        <f>I213/S213</f>
        <v>2.2129812018190219E-2</v>
      </c>
      <c r="K213" s="35" cm="1">
        <f t="array" ref="K213">_xll.BDP($B213&amp;" Equity","bid")</f>
        <v>9</v>
      </c>
      <c r="L213" s="35" cm="1">
        <f t="array" ref="L213">_xll.BDP($B213&amp;" Equity","ask")</f>
        <v>9.1</v>
      </c>
      <c r="M213" s="39">
        <f>(L213/K213-1)</f>
        <v>1.1111111111111072E-2</v>
      </c>
      <c r="N213" s="35" cm="1">
        <f t="array" ref="N213">_xll.BDP(F213&amp;" Curncy","PX_LAST")</f>
        <v>1</v>
      </c>
      <c r="O213" s="161" cm="1">
        <f t="array" ref="O213">_xll.BDP(B213&amp;" Equity","OPT_MULTIPLIER")</f>
        <v>100</v>
      </c>
      <c r="P213" s="15">
        <f>IF(G213="Buy",((I213/N213)*H213*O213),((I213/N213)*-H213*O213))</f>
        <v>182000</v>
      </c>
      <c r="Q213" s="57">
        <f>P213/'Master P&amp;L'!$AD$5*10000</f>
        <v>0.8103168227113362</v>
      </c>
      <c r="R213" s="36" cm="1">
        <f t="array" ref="R213">_xll.BDP($C213&amp;" Equity","EST_PE_NXT_YR")*(T213/S213)</f>
        <v>21.532834253989254</v>
      </c>
      <c r="S213" s="35" cm="1">
        <f t="array" ref="S213">_xll.BDP(C213&amp;" Equity","LAST_PRICE")</f>
        <v>411.21</v>
      </c>
      <c r="T213" s="52" cm="1">
        <f t="array" ref="T213">_xll.BDP(B213&amp;" Equity","OPT_STRIKE_PX")</f>
        <v>410</v>
      </c>
      <c r="U213" s="39">
        <f>T213/S213-1</f>
        <v>-2.9425354441768858E-3</v>
      </c>
      <c r="V213" s="36" cm="1">
        <f t="array" ref="V213">_xll.BDP(B213&amp;" Equity","ivol_mid")</f>
        <v>27.335629999999998</v>
      </c>
      <c r="W213" s="37" cm="1">
        <f t="array" ref="W213">_xll.BDP(B213&amp;" Equity","DELTA_MID_RT")</f>
        <v>-0.46835070848464966</v>
      </c>
      <c r="X213" s="47">
        <f>Y213/'Master P&amp;L'!$AE$5</f>
        <v>-1.7149375588998844E-3</v>
      </c>
      <c r="Y213" s="15">
        <f>IF(G213="Sell", S213*W213*-H213*O213/N213, S213*W213*H213*O213/N213)</f>
        <v>-3851809.8967194557</v>
      </c>
      <c r="Z213" s="15" cm="1">
        <f t="array" ref="Z213">_xll.BDP($B213&amp;" Equity","opt_theta")*H213*O213/N213</f>
        <v>-5611.84</v>
      </c>
      <c r="AA213" s="18" cm="1">
        <f t="array" ref="AA213">_xll.BDP($B213&amp;" Equity","opt_theta")/I213</f>
        <v>-3.0834285714285717E-2</v>
      </c>
      <c r="AB213" s="35" t="str" cm="1">
        <f t="array" ref="AB213">_xll.BDP($C213&amp;" Equity","EXPECTED_REPORT_DT")</f>
        <v>30/04/2026</v>
      </c>
      <c r="AC213" s="15">
        <f>S213*H213*O213/N213</f>
        <v>8224200</v>
      </c>
      <c r="AD213" s="18">
        <f>AC213/'Master P&amp;L'!$AE$5</f>
        <v>3.6616525348036107E-3</v>
      </c>
      <c r="AE213" t="s">
        <v>1877</v>
      </c>
      <c r="AK213" t="s">
        <v>1793</v>
      </c>
    </row>
    <row r="214" spans="1:37">
      <c r="A214" s="232"/>
      <c r="B214" s="58"/>
      <c r="D214" s="63"/>
      <c r="G214" s="104"/>
      <c r="H214" s="130"/>
      <c r="I214" s="96"/>
      <c r="J214" s="18"/>
      <c r="K214" s="35"/>
      <c r="L214" s="35"/>
      <c r="M214" s="39"/>
      <c r="N214" s="35"/>
      <c r="O214" s="161"/>
      <c r="P214" s="15"/>
      <c r="Q214" s="57"/>
      <c r="R214" s="36"/>
      <c r="S214" s="35"/>
      <c r="T214" s="52"/>
      <c r="U214" s="39"/>
      <c r="V214" s="36"/>
      <c r="W214" s="37"/>
      <c r="X214" s="47"/>
      <c r="Y214" s="15"/>
      <c r="Z214" s="15"/>
      <c r="AA214" s="18"/>
      <c r="AB214" s="35"/>
      <c r="AC214" s="15"/>
      <c r="AD214" s="18"/>
    </row>
    <row r="215" spans="1:37">
      <c r="H215" s="99" t="s">
        <v>116</v>
      </c>
      <c r="I215" s="101">
        <f>I212+I214-I213-I211</f>
        <v>4.2899999999999991</v>
      </c>
      <c r="J215" s="99" t="s">
        <v>249</v>
      </c>
      <c r="K215" s="100">
        <f>K214/L212</f>
        <v>0</v>
      </c>
      <c r="P215" s="129">
        <f>P212+P214+P211+P213</f>
        <v>-85800</v>
      </c>
      <c r="Q215" s="57">
        <f>P215/'Master P&amp;L'!$AD$5*10000</f>
        <v>-0.38200650213534421</v>
      </c>
      <c r="S215" s="99" t="s">
        <v>251</v>
      </c>
      <c r="T215" s="101"/>
      <c r="W215" s="99" t="s">
        <v>252</v>
      </c>
      <c r="X215" s="121">
        <f>X212+X214+X211+X213</f>
        <v>9.5091760546175226E-4</v>
      </c>
      <c r="AC215" s="99" t="s">
        <v>229</v>
      </c>
      <c r="AD215" s="121">
        <f>AD212</f>
        <v>3.6616525348036107E-3</v>
      </c>
    </row>
    <row r="216" spans="1:37">
      <c r="H216" s="99" t="s">
        <v>253</v>
      </c>
      <c r="I216" s="101"/>
      <c r="J216" s="99" t="s">
        <v>145</v>
      </c>
      <c r="K216" s="108" t="e">
        <f>-AVERAGE(K211:L211)+AVERAGE(K212:L212)+AVERAGE(K214:L214)-AVERAGE(K213:L213)</f>
        <v>#DIV/0!</v>
      </c>
      <c r="P216" s="99"/>
      <c r="Q216" s="107"/>
      <c r="S216" s="99"/>
      <c r="T216" s="101"/>
      <c r="W216" s="99"/>
      <c r="X216" s="121"/>
      <c r="Y216" s="13">
        <f>(Y211+Y212+Y214)/S212</f>
        <v>14560.940116643906</v>
      </c>
      <c r="AC216" s="99"/>
      <c r="AD216" s="103"/>
    </row>
    <row r="217" spans="1:37">
      <c r="C217">
        <f>H211*(T211-T212)*100+P215</f>
        <v>414200</v>
      </c>
      <c r="D217" s="63"/>
      <c r="H217" s="95"/>
      <c r="I217" s="63">
        <f>I212-I211</f>
        <v>13.389999999999999</v>
      </c>
      <c r="K217" s="63">
        <f>(I211/25*A211)+(I212/25*A212)-(I214/25*A214)</f>
        <v>2.1156000000000001</v>
      </c>
      <c r="N217" s="35"/>
      <c r="O217" s="161"/>
      <c r="P217" s="15"/>
      <c r="Q217" s="57"/>
    </row>
    <row r="218" spans="1:37">
      <c r="C218">
        <f>C217/'Master P&amp;L'!$AD$5*10000</f>
        <v>1.8441386152034915</v>
      </c>
      <c r="I218" s="63">
        <f>I213-I214</f>
        <v>9.1</v>
      </c>
      <c r="K218">
        <v>11.59</v>
      </c>
      <c r="M218" s="261" t="e">
        <f>(I215-K216)*500*100</f>
        <v>#DIV/0!</v>
      </c>
      <c r="P218">
        <v>-7500</v>
      </c>
      <c r="S218">
        <v>521.79999999999995</v>
      </c>
    </row>
    <row r="219" spans="1:37">
      <c r="I219" s="39">
        <f>I218/I217</f>
        <v>0.67961165048543692</v>
      </c>
    </row>
    <row r="220" spans="1:37">
      <c r="I220" s="63"/>
    </row>
    <row r="221" spans="1:37">
      <c r="A221">
        <v>300</v>
      </c>
      <c r="H221" s="270">
        <v>1</v>
      </c>
      <c r="I221" s="63">
        <f>I223-I222</f>
        <v>16.400000000000002</v>
      </c>
      <c r="J221" s="63">
        <f>I224-I225</f>
        <v>10.599999999999998</v>
      </c>
      <c r="K221" s="128"/>
      <c r="W221" s="49">
        <f>W223-W222+W225-W224</f>
        <v>0.30074173212051392</v>
      </c>
    </row>
    <row r="222" spans="1:37">
      <c r="A222" s="232">
        <v>9</v>
      </c>
      <c r="B222" s="58" t="s">
        <v>2104</v>
      </c>
      <c r="C222" t="str" cm="1">
        <f t="array" ref="C222">_xll.BDP(B222&amp;" Equity","OPT_UNDL_TICKER")</f>
        <v>AVGO US</v>
      </c>
      <c r="D222" t="str" cm="1">
        <f t="array" ref="D222">_xll.BDP($B222&amp;" Index","mifid_Maturity_date")</f>
        <v>18/06/2026</v>
      </c>
      <c r="E222" cm="1">
        <f t="array" ref="E222">_xll.BDP($B222&amp;" Index","opt_days_expire")</f>
        <v>135</v>
      </c>
      <c r="F222" t="str" cm="1">
        <f t="array" ref="F222">_xll.BDP(B222&amp;" Equity","QUOTED_CURRENCY_REALTIME")</f>
        <v>USD</v>
      </c>
      <c r="G222" s="104" t="s">
        <v>248</v>
      </c>
      <c r="H222" s="130">
        <f>H223</f>
        <v>50</v>
      </c>
      <c r="I222" s="96">
        <f>IF(G222="Buy",L222,K222)</f>
        <v>14.2</v>
      </c>
      <c r="J222" s="18">
        <f>I222/S222</f>
        <v>4.4329285424406083E-2</v>
      </c>
      <c r="K222" s="35" cm="1">
        <f t="array" ref="K222">_xll.BDP($B222&amp;" Equity","bid")</f>
        <v>14.2</v>
      </c>
      <c r="L222" s="35" cm="1">
        <f t="array" ref="L222">_xll.BDP($B222&amp;" Equity","ask")</f>
        <v>14.75</v>
      </c>
      <c r="M222" s="39">
        <f>(L222/K222-1)</f>
        <v>3.8732394366197243E-2</v>
      </c>
      <c r="N222" s="35" cm="1">
        <f t="array" ref="N222">_xll.BDP(F222&amp;" Curncy","PX_LAST")</f>
        <v>1</v>
      </c>
      <c r="O222" s="161" cm="1">
        <f t="array" ref="O222">_xll.BDP(B222&amp;" Equity","OPT_MULTIPLIER")</f>
        <v>100</v>
      </c>
      <c r="P222" s="15">
        <f>IF(G222="Buy",((I222/N222)*H222*O222),((I222/N222)*-H222*O222))</f>
        <v>-71000</v>
      </c>
      <c r="Q222" s="57">
        <f>P222/'Master P&amp;L'!$AD$5*10000</f>
        <v>-0.31611260666211466</v>
      </c>
      <c r="R222" s="36" cm="1">
        <f t="array" ref="R222">_xll.BDP($C222&amp;" Equity","EST_PE_NXT_YR")*(T222/S222)</f>
        <v>28.696711825664302</v>
      </c>
      <c r="S222" s="35" cm="1">
        <f t="array" ref="S222">_xll.BDP(C222&amp;" Equity","LAST_PRICE")</f>
        <v>320.33</v>
      </c>
      <c r="T222" s="52" cm="1">
        <f t="array" ref="T222">_xll.BDP(B222&amp;" Equity","OPT_STRIKE_PX")</f>
        <v>410</v>
      </c>
      <c r="U222" s="39">
        <f>T222/S222-1</f>
        <v>0.27993007211313348</v>
      </c>
      <c r="V222" s="36" cm="1">
        <f t="array" ref="V222">_xll.BDP($B222&amp;" Equity","ivol_mid")</f>
        <v>50.561399999999999</v>
      </c>
      <c r="W222" s="37" cm="1">
        <f t="array" ref="W222">_xll.BDP(B222&amp;" Equity","DELTA_MID_RT")</f>
        <v>0.27472531795501709</v>
      </c>
      <c r="X222" s="47">
        <f>Y222/'Master P&amp;L'!$AE$5</f>
        <v>-1.9590691693628228E-4</v>
      </c>
      <c r="Y222" s="15">
        <f>IF(G222="Sell", S222*W222*-H222*O222/N222, S222*W222*H222*O222/N222)</f>
        <v>-440013.80550265312</v>
      </c>
      <c r="Z222" s="15" cm="1">
        <f t="array" ref="Z222">_xll.BDP($B222&amp;" Equity","opt_theta")*H222*O222/N222</f>
        <v>-582.70000000000005</v>
      </c>
      <c r="AA222" s="18" cm="1">
        <f t="array" ref="AA222">_xll.BDP($B222&amp;" Equity","opt_theta")/I222</f>
        <v>-8.2070422535211272E-3</v>
      </c>
      <c r="AB222" s="35" t="str" cm="1">
        <f t="array" ref="AB222">_xll.BDP($C222&amp;" Equity","EXPECTED_REPORT_DT")</f>
        <v>04/03/2026</v>
      </c>
      <c r="AC222" s="15">
        <f>S222*H222*O222/N222</f>
        <v>1601650</v>
      </c>
      <c r="AD222" s="18">
        <f>AC222/'Master P&amp;L'!$AE$5</f>
        <v>7.1310106543714924E-4</v>
      </c>
      <c r="AE222" t="s">
        <v>1875</v>
      </c>
      <c r="AK222" t="s">
        <v>1791</v>
      </c>
    </row>
    <row r="223" spans="1:37">
      <c r="A223" s="232">
        <v>3</v>
      </c>
      <c r="B223" s="58" t="s">
        <v>2102</v>
      </c>
      <c r="C223" t="str" cm="1">
        <f t="array" ref="C223">_xll.BDP(B223&amp;" Equity","OPT_UNDL_TICKER")</f>
        <v>AVGO US</v>
      </c>
      <c r="D223" t="str" cm="1">
        <f t="array" ref="D223">_xll.BDP($B223&amp;" Index","mifid_Maturity_date")</f>
        <v>18/06/2026</v>
      </c>
      <c r="E223" cm="1">
        <f t="array" ref="E223">_xll.BDP($B223&amp;" Index","opt_days_expire")</f>
        <v>135</v>
      </c>
      <c r="F223" t="str" cm="1">
        <f t="array" ref="F223">_xll.BDP(B223&amp;" Equity","QUOTED_CURRENCY_REALTIME")</f>
        <v>USD</v>
      </c>
      <c r="G223" s="104" t="s">
        <v>247</v>
      </c>
      <c r="H223" s="130">
        <v>50</v>
      </c>
      <c r="I223" s="96">
        <f>IF(G223="Buy",L223,K223)</f>
        <v>30.6</v>
      </c>
      <c r="J223" s="18">
        <f>I223/S223</f>
        <v>9.5526488308931429E-2</v>
      </c>
      <c r="K223" s="35" cm="1">
        <f t="array" ref="K223">_xll.BDP($B223&amp;" Equity","bid")</f>
        <v>29.75</v>
      </c>
      <c r="L223" s="35" cm="1">
        <f t="array" ref="L223">_xll.BDP($B223&amp;" Equity","ask")</f>
        <v>30.6</v>
      </c>
      <c r="M223" s="39">
        <f>(L223/K223-1)</f>
        <v>2.8571428571428692E-2</v>
      </c>
      <c r="N223" s="35" cm="1">
        <f t="array" ref="N223">_xll.BDP(F223&amp;" Curncy","PX_LAST")</f>
        <v>1</v>
      </c>
      <c r="O223" s="161" cm="1">
        <f t="array" ref="O223">_xll.BDP(B223&amp;" Equity","OPT_MULTIPLIER")</f>
        <v>100</v>
      </c>
      <c r="P223" s="15">
        <f>IF(G223="Buy",((I223/N223)*H223*O223),((I223/N223)*-H223*O223))</f>
        <v>153000</v>
      </c>
      <c r="Q223" s="57">
        <f>P223/'Master P&amp;L'!$AD$5*10000</f>
        <v>0.68120040590568376</v>
      </c>
      <c r="R223" s="36" cm="1">
        <f t="array" ref="R223">_xll.BDP($C223&amp;" Equity","EST_PE_NXT_YR")*(T223/S223)</f>
        <v>24.497193021908551</v>
      </c>
      <c r="S223" s="35" cm="1">
        <f t="array" ref="S223">_xll.BDP(C223&amp;" Equity","LAST_PRICE")</f>
        <v>320.33</v>
      </c>
      <c r="T223" s="52" cm="1">
        <f t="array" ref="T223">_xll.BDP(B223&amp;" Equity","OPT_STRIKE_PX")</f>
        <v>350</v>
      </c>
      <c r="U223" s="39">
        <f>T223/S223-1</f>
        <v>9.2623232291699331E-2</v>
      </c>
      <c r="V223" s="36" cm="1">
        <f t="array" ref="V223">_xll.BDP($B223&amp;" Equity","ivol_mid")</f>
        <v>51.22513</v>
      </c>
      <c r="W223" s="37" cm="1">
        <f t="array" ref="W223">_xll.BDP(B223&amp;" Equity","DELTA_MID_RT")</f>
        <v>0.46645155549049377</v>
      </c>
      <c r="X223" s="47">
        <f>Y223/'Master P&amp;L'!$AE$5</f>
        <v>3.326271011950866E-4</v>
      </c>
      <c r="Y223" s="15">
        <f>IF(G223="Sell", S223*W223*-H223*O223/N223, S223*W223*H223*O223/N223)</f>
        <v>747092.13385134924</v>
      </c>
      <c r="Z223" s="15" cm="1">
        <f t="array" ref="Z223">_xll.BDP($B223&amp;" Equity","opt_theta")*H223*O223/N223</f>
        <v>-718.41</v>
      </c>
      <c r="AA223" s="18" cm="1">
        <f t="array" ref="AA223">_xll.BDP($B223&amp;" Equity","opt_theta")/I223</f>
        <v>-4.6954901960784313E-3</v>
      </c>
      <c r="AB223" s="35" t="str" cm="1">
        <f t="array" ref="AB223">_xll.BDP($C223&amp;" Equity","EXPECTED_REPORT_DT")</f>
        <v>04/03/2026</v>
      </c>
      <c r="AC223" s="15">
        <f>S223*H223*O223/N223</f>
        <v>1601650</v>
      </c>
      <c r="AD223" s="47">
        <f>AC223/'Master P&amp;L'!$AE$5</f>
        <v>7.1310106543714924E-4</v>
      </c>
      <c r="AE223" t="s">
        <v>1876</v>
      </c>
      <c r="AK223" t="s">
        <v>1792</v>
      </c>
    </row>
    <row r="224" spans="1:37">
      <c r="A224" s="232"/>
      <c r="B224" s="58" t="s">
        <v>2101</v>
      </c>
      <c r="C224" t="str" cm="1">
        <f t="array" ref="C224">_xll.BDP(B224&amp;" Equity","OPT_UNDL_TICKER")</f>
        <v>AVGO US</v>
      </c>
      <c r="D224" t="str" cm="1">
        <f t="array" ref="D224">_xll.BDP($B224&amp;" Index","mifid_Maturity_date")</f>
        <v>18/06/2026</v>
      </c>
      <c r="E224" cm="1">
        <f t="array" ref="E224">_xll.BDP($B224&amp;" Index","opt_days_expire")</f>
        <v>135</v>
      </c>
      <c r="F224" t="str" cm="1">
        <f t="array" ref="F224">_xll.BDP(B224&amp;" Equity","QUOTED_CURRENCY_REALTIME")</f>
        <v>USD</v>
      </c>
      <c r="G224" s="104" t="s">
        <v>248</v>
      </c>
      <c r="H224" s="130">
        <f>H223</f>
        <v>50</v>
      </c>
      <c r="I224" s="96">
        <f>IF(G224="Buy",L224,K224)</f>
        <v>28.2</v>
      </c>
      <c r="J224" s="18">
        <f>I224/S224</f>
        <v>8.8034214716074047E-2</v>
      </c>
      <c r="K224" s="35" cm="1">
        <f t="array" ref="K224">_xll.BDP($B224&amp;" Equity","bid")</f>
        <v>28.2</v>
      </c>
      <c r="L224" s="35" cm="1">
        <f t="array" ref="L224">_xll.BDP($B224&amp;" Equity","ask")</f>
        <v>28.75</v>
      </c>
      <c r="M224" s="39">
        <f>(L224/K224-1)</f>
        <v>1.9503546099290725E-2</v>
      </c>
      <c r="N224" s="35" cm="1">
        <f t="array" ref="N224">_xll.BDP(F224&amp;" Curncy","PX_LAST")</f>
        <v>1</v>
      </c>
      <c r="O224" s="161" cm="1">
        <f t="array" ref="O224">_xll.BDP(B224&amp;" Equity","OPT_MULTIPLIER")</f>
        <v>100</v>
      </c>
      <c r="P224" s="15">
        <f>IF(G224="Buy",((I224/N224)*H224*O224),((I224/N224)*-H224*O224))</f>
        <v>-141000</v>
      </c>
      <c r="Q224" s="57">
        <f>P224/'Master P&amp;L'!$AD$5*10000</f>
        <v>-0.62777292308955168</v>
      </c>
      <c r="R224" s="36" cm="1">
        <f t="array" ref="R224">_xll.BDP($C224&amp;" Equity","EST_PE_NXT_YR")*(T224/S224)</f>
        <v>20.997594018778756</v>
      </c>
      <c r="S224" s="35" cm="1">
        <f t="array" ref="S224">_xll.BDP(C224&amp;" Equity","LAST_PRICE")</f>
        <v>320.33</v>
      </c>
      <c r="T224" s="52" cm="1">
        <f t="array" ref="T224">_xll.BDP(B224&amp;" Equity","OPT_STRIKE_PX")</f>
        <v>300</v>
      </c>
      <c r="U224" s="39">
        <f>T224/S224-1</f>
        <v>-6.3465800892829272E-2</v>
      </c>
      <c r="V224" s="36" cm="1">
        <f t="array" ref="V224">_xll.BDP(B224&amp;" Equity","ivol_mid")</f>
        <v>52.366619999999998</v>
      </c>
      <c r="W224" s="37" cm="1">
        <f t="array" ref="W224">_xll.BDP(B224&amp;" Equity","DELTA_MID_RT")</f>
        <v>-0.34549805521965027</v>
      </c>
      <c r="X224" s="47">
        <f>Y224/'Master P&amp;L'!$AE$5</f>
        <v>2.4637503128359563E-4</v>
      </c>
      <c r="Y224" s="15">
        <f>IF(G224="Sell", S224*W224*-H224*O224/N224, S224*W224*H224*O224/N224)</f>
        <v>553366.96014255285</v>
      </c>
      <c r="Z224" s="15" cm="1">
        <f t="array" ref="Z224">_xll.BDP($B224&amp;" Equity","opt_theta")*H224*O224/N224</f>
        <v>-700.04</v>
      </c>
      <c r="AA224" s="18" cm="1">
        <f t="array" ref="AA224">_xll.BDP($B224&amp;" Equity","opt_theta")/I224</f>
        <v>-4.9648226950354613E-3</v>
      </c>
      <c r="AB224" s="35" t="str" cm="1">
        <f t="array" ref="AB224">_xll.BDP($C224&amp;" Equity","EXPECTED_REPORT_DT")</f>
        <v>04/03/2026</v>
      </c>
      <c r="AC224" s="15">
        <f>S224*H224*O224/N224</f>
        <v>1601650</v>
      </c>
      <c r="AD224" s="18">
        <f>AC224/'Master P&amp;L'!$AE$5</f>
        <v>7.1310106543714924E-4</v>
      </c>
      <c r="AE224" t="s">
        <v>1877</v>
      </c>
      <c r="AK224" t="s">
        <v>1793</v>
      </c>
    </row>
    <row r="225" spans="1:37">
      <c r="A225" s="232"/>
      <c r="B225" s="58" t="s">
        <v>2103</v>
      </c>
      <c r="C225" t="str" cm="1">
        <f t="array" ref="C225">_xll.BDP(B225&amp;" Equity","OPT_UNDL_TICKER")</f>
        <v>AVGO US</v>
      </c>
      <c r="D225" t="str" cm="1">
        <f t="array" ref="D225">_xll.BDP($B225&amp;" Index","mifid_Maturity_date")</f>
        <v>18/06/2026</v>
      </c>
      <c r="E225" cm="1">
        <f t="array" ref="E225">_xll.BDP($B225&amp;" Index","opt_days_expire")</f>
        <v>135</v>
      </c>
      <c r="F225" t="str" cm="1">
        <f t="array" ref="F225">_xll.BDP(B225&amp;" Equity","QUOTED_CURRENCY_REALTIME")</f>
        <v>USD</v>
      </c>
      <c r="G225" s="104" t="s">
        <v>247</v>
      </c>
      <c r="H225" s="130">
        <f>H224</f>
        <v>50</v>
      </c>
      <c r="I225" s="96">
        <f>IF(G225="Buy",L225,K225)</f>
        <v>17.600000000000001</v>
      </c>
      <c r="J225" s="18">
        <f>I225/S225</f>
        <v>5.4943339680954023E-2</v>
      </c>
      <c r="K225" s="35" cm="1">
        <f t="array" ref="K225">_xll.BDP($B225&amp;" Equity","bid")</f>
        <v>17</v>
      </c>
      <c r="L225" s="35" cm="1">
        <f t="array" ref="L225">_xll.BDP($B225&amp;" Equity","ask")</f>
        <v>17.600000000000001</v>
      </c>
      <c r="M225" s="39">
        <f>(L225/K225-1)</f>
        <v>3.529411764705892E-2</v>
      </c>
      <c r="N225" s="35" cm="1">
        <f t="array" ref="N225">_xll.BDP(F225&amp;" Curncy","PX_LAST")</f>
        <v>1</v>
      </c>
      <c r="O225" s="161" cm="1">
        <f t="array" ref="O225">_xll.BDP(B225&amp;" Equity","OPT_MULTIPLIER")</f>
        <v>100</v>
      </c>
      <c r="P225" s="15">
        <f>IF(G225="Buy",((I225/N225)*H225*O225),((I225/N225)*-H225*O225))</f>
        <v>88000.000000000015</v>
      </c>
      <c r="Q225" s="57">
        <f>P225/'Master P&amp;L'!$AD$5*10000</f>
        <v>0.39180154065163514</v>
      </c>
      <c r="R225" s="36" cm="1">
        <f t="array" ref="R225">_xll.BDP($C225&amp;" Equity","EST_PE_NXT_YR")*(T225/S225)</f>
        <v>18.89783461690088</v>
      </c>
      <c r="S225" s="35" cm="1">
        <f t="array" ref="S225">_xll.BDP(C225&amp;" Equity","LAST_PRICE")</f>
        <v>320.33</v>
      </c>
      <c r="T225" s="52" cm="1">
        <f t="array" ref="T225">_xll.BDP(B225&amp;" Equity","OPT_STRIKE_PX")</f>
        <v>270</v>
      </c>
      <c r="U225" s="39">
        <f>T225/S225-1</f>
        <v>-0.15711922080354634</v>
      </c>
      <c r="V225" s="36" cm="1">
        <f t="array" ref="V225">_xll.BDP(B225&amp;" Equity","ivol_mid")</f>
        <v>53.889859999999999</v>
      </c>
      <c r="W225" s="37" cm="1">
        <f t="array" ref="W225">_xll.BDP(B225&amp;" Equity","DELTA_MID_RT")</f>
        <v>-0.23648256063461304</v>
      </c>
      <c r="X225" s="47">
        <f>Y225/'Master P&amp;L'!$AE$5</f>
        <v>-1.6863596594584782E-4</v>
      </c>
      <c r="Y225" s="15">
        <f>IF(G225="Sell", S225*W225*-H225*O225/N225, S225*W225*H225*O225/N225)</f>
        <v>-378762.29324042797</v>
      </c>
      <c r="Z225" s="15" cm="1">
        <f t="array" ref="Z225">_xll.BDP($B225&amp;" Equity","opt_theta")*H225*O225/N225</f>
        <v>-603.42999999999995</v>
      </c>
      <c r="AA225" s="18" cm="1">
        <f t="array" ref="AA225">_xll.BDP($B225&amp;" Equity","opt_theta")/I225</f>
        <v>-6.8571590909090908E-3</v>
      </c>
      <c r="AB225" s="35" t="str" cm="1">
        <f t="array" ref="AB225">_xll.BDP($C225&amp;" Equity","EXPECTED_REPORT_DT")</f>
        <v>04/03/2026</v>
      </c>
      <c r="AC225" s="15">
        <f>S225*H225*O225/N225</f>
        <v>1601650</v>
      </c>
      <c r="AD225" s="18">
        <f>AC225/'Master P&amp;L'!$AE$5</f>
        <v>7.1310106543714924E-4</v>
      </c>
      <c r="AE225" t="s">
        <v>1877</v>
      </c>
      <c r="AK225" t="s">
        <v>1793</v>
      </c>
    </row>
    <row r="226" spans="1:37">
      <c r="H226" s="99" t="s">
        <v>116</v>
      </c>
      <c r="I226" s="101">
        <f>I223+I225-I224-I222</f>
        <v>5.8000000000000043</v>
      </c>
      <c r="J226" s="99" t="s">
        <v>249</v>
      </c>
      <c r="K226" s="100">
        <f>K225/L223</f>
        <v>0.55555555555555558</v>
      </c>
      <c r="P226" s="129">
        <f>P223+P225+P222+P224</f>
        <v>29000</v>
      </c>
      <c r="Q226" s="57">
        <f>P226/'Master P&amp;L'!$AD$5*10000</f>
        <v>0.12911641680565247</v>
      </c>
      <c r="S226" s="99" t="s">
        <v>251</v>
      </c>
      <c r="T226" s="101"/>
      <c r="W226" s="99" t="s">
        <v>252</v>
      </c>
      <c r="X226" s="121">
        <f>X223+X225+X222+X224</f>
        <v>2.1445924959655213E-4</v>
      </c>
      <c r="AC226" s="99" t="s">
        <v>229</v>
      </c>
      <c r="AD226" s="121">
        <f>AD223</f>
        <v>7.1310106543714924E-4</v>
      </c>
    </row>
    <row r="227" spans="1:37">
      <c r="H227" s="99" t="s">
        <v>253</v>
      </c>
      <c r="I227" s="101"/>
      <c r="J227" s="99" t="s">
        <v>145</v>
      </c>
      <c r="K227" s="108">
        <f>-AVERAGE(K222:L222)+AVERAGE(K223:L223)+AVERAGE(K225:L225)-AVERAGE(K224:L224)</f>
        <v>4.5249999999999986</v>
      </c>
      <c r="P227" s="99"/>
      <c r="Q227" s="107"/>
      <c r="S227" s="99"/>
      <c r="T227" s="101"/>
      <c r="W227" s="99"/>
      <c r="X227" s="121"/>
      <c r="Y227" s="13">
        <f>(Y222+Y223+Y224)/S223</f>
        <v>2686.1214637756343</v>
      </c>
      <c r="AC227" s="99"/>
      <c r="AD227" s="103"/>
    </row>
    <row r="228" spans="1:37">
      <c r="D228" s="63"/>
      <c r="H228" s="95"/>
      <c r="I228" s="63">
        <f>I223-I222</f>
        <v>16.400000000000002</v>
      </c>
      <c r="K228" s="63">
        <f>(I222/25*A222)+(I223/25*A223)-(I225/25*A225)</f>
        <v>8.7839999999999989</v>
      </c>
      <c r="N228" s="35"/>
      <c r="O228" s="161"/>
      <c r="P228" s="15"/>
      <c r="Q228" s="57"/>
    </row>
    <row r="229" spans="1:37">
      <c r="I229" s="63">
        <f>I224-I225</f>
        <v>10.599999999999998</v>
      </c>
      <c r="K229">
        <v>11.59</v>
      </c>
      <c r="M229" s="261">
        <f>(I226-K227)*500*100</f>
        <v>63750.000000000284</v>
      </c>
      <c r="P229">
        <v>-7500</v>
      </c>
      <c r="S229">
        <v>521.79999999999995</v>
      </c>
    </row>
    <row r="230" spans="1:37">
      <c r="I230" s="39">
        <f>I229/I228</f>
        <v>0.64634146341463394</v>
      </c>
    </row>
    <row r="231" spans="1:37">
      <c r="I231" s="63"/>
    </row>
    <row r="232" spans="1:37">
      <c r="I232" s="63"/>
    </row>
    <row r="233" spans="1:37">
      <c r="A233" s="433">
        <f>P233/Y233</f>
        <v>0.17834408177313923</v>
      </c>
      <c r="B233" s="58" t="s">
        <v>2290</v>
      </c>
      <c r="C233" t="str" cm="1">
        <f t="array" ref="C233">_xll.BDP(B233&amp;" Equity","OPT_UNDL_TICKER")</f>
        <v>META US</v>
      </c>
      <c r="D233" s="42">
        <f>J233+U233</f>
        <v>9.0573948243458102E-2</v>
      </c>
      <c r="E233" cm="1">
        <f t="array" ref="E233">_xll.BDP($B233&amp;" Index","opt_days_expire")</f>
        <v>164</v>
      </c>
      <c r="F233" t="str" cm="1">
        <f t="array" ref="F233">_xll.BDP(B233&amp;" Equity","QUOTED_CURRENCY_REALTIME")</f>
        <v>USD</v>
      </c>
      <c r="G233" s="104" t="s">
        <v>247</v>
      </c>
      <c r="H233" s="130">
        <v>40</v>
      </c>
      <c r="I233" s="96">
        <f>IF(G233="Buy",L233,K233)</f>
        <v>74.349999999999994</v>
      </c>
      <c r="J233" s="18">
        <f>I233/S233</f>
        <v>0.10748879572068815</v>
      </c>
      <c r="K233" s="35" cm="1">
        <f t="array" ref="K233">_xll.BDP($B233&amp;" Equity","bid")</f>
        <v>72.150000000000006</v>
      </c>
      <c r="L233" s="35" cm="1">
        <f t="array" ref="L233">_xll.BDP($B233&amp;" Equity","ask")</f>
        <v>74.349999999999994</v>
      </c>
      <c r="M233" s="39">
        <f>(L233/K233-1)</f>
        <v>3.049203049203042E-2</v>
      </c>
      <c r="N233" s="35" cm="1">
        <f t="array" ref="N233">_xll.BDP(F233&amp;" Curncy","PX_LAST")</f>
        <v>1</v>
      </c>
      <c r="O233" s="161" cm="1">
        <f t="array" ref="O233">_xll.BDP(B233&amp;" Equity","OPT_MULTIPLIER")</f>
        <v>100</v>
      </c>
      <c r="P233" s="15">
        <f>IF(G233="Buy",((I233/N233)*H233*O233),((I233/N233)*-H233*O233))</f>
        <v>297400</v>
      </c>
      <c r="Q233" s="57">
        <f>P233/'Master P&amp;L'!$AD$5*10000</f>
        <v>1.3241111157931396</v>
      </c>
      <c r="R233" s="36" cm="1">
        <f t="array" ref="R233">_xll.BDP($C233&amp;" Equity","EST_PE_NXT_YR")*(T233/S233)</f>
        <v>18.047643606318761</v>
      </c>
      <c r="S233" s="35" cm="1">
        <f t="array" ref="S233">_xll.BDP(C233&amp;" Equity","LAST_PRICE")</f>
        <v>691.7</v>
      </c>
      <c r="T233" s="52" cm="1">
        <f t="array" ref="T233">_xll.BDP(B233&amp;" Equity","OPT_STRIKE_PX")</f>
        <v>680</v>
      </c>
      <c r="U233" s="39">
        <f>T233/S233-1</f>
        <v>-1.6914847477230044E-2</v>
      </c>
      <c r="V233" s="36" cm="1">
        <f t="array" ref="V233">_xll.BDP($B233&amp;" Equity","ivol_mid")</f>
        <v>34.201030000000003</v>
      </c>
      <c r="W233" s="37" cm="1">
        <f t="array" ref="W233">_xll.BDP(B233&amp;" Equity","DELTA_MID_RT")</f>
        <v>0.60270458459854126</v>
      </c>
      <c r="X233" s="47">
        <f>Y233/'Master P&amp;L'!$AE$5</f>
        <v>7.4244746594813362E-4</v>
      </c>
      <c r="Y233" s="15">
        <f>IF(G233="Sell", S233*W233*-H233*O233/N233, S233*W233*H233*O233/N233)</f>
        <v>1667563.044667244</v>
      </c>
      <c r="Z233" s="15" cm="1">
        <f t="array" ref="Z233">_xll.BDP($B233&amp;" Equity","opt_theta")*H233*O233/N233</f>
        <v>-746.87599999999998</v>
      </c>
      <c r="AA233" s="18" cm="1">
        <f t="array" ref="AA233">_xll.BDP($B233&amp;" Equity","opt_theta")/I233</f>
        <v>-2.5113517148621389E-3</v>
      </c>
      <c r="AB233" s="35" t="str" cm="1">
        <f t="array" ref="AB233">_xll.BDP($C233&amp;" Equity","EXPECTED_REPORT_DT")</f>
        <v>30/04/2026</v>
      </c>
      <c r="AC233" s="15">
        <f>S233*H233*O233/N233</f>
        <v>2766800</v>
      </c>
      <c r="AD233" s="47">
        <f>AC233/'Master P&amp;L'!$AE$5</f>
        <v>1.2318596621306182E-3</v>
      </c>
      <c r="AE233" t="str">
        <f>B233&amp;" -&gt; Buy to open "&amp;H233&amp;"x"</f>
        <v>META US 07/17/26 C680 -&gt; Buy to open 40x</v>
      </c>
    </row>
    <row r="234" spans="1:37">
      <c r="A234" s="433">
        <f>P234/Y234</f>
        <v>0.16627521791937377</v>
      </c>
      <c r="B234" s="58" t="s">
        <v>2283</v>
      </c>
      <c r="C234" t="str" cm="1">
        <f t="array" ref="C234">_xll.BDP(B234&amp;" Equity","OPT_UNDL_TICKER")</f>
        <v>AMZN US</v>
      </c>
      <c r="D234" s="42">
        <f>J234+U234</f>
        <v>0.13045846953314885</v>
      </c>
      <c r="E234" cm="1">
        <f t="array" ref="E234">_xll.BDP($B234&amp;" Index","opt_days_expire")</f>
        <v>164</v>
      </c>
      <c r="F234" t="str" cm="1">
        <f t="array" ref="F234">_xll.BDP(B234&amp;" Equity","QUOTED_CURRENCY_REALTIME")</f>
        <v>USD</v>
      </c>
      <c r="G234" s="104" t="s">
        <v>247</v>
      </c>
      <c r="H234" s="130">
        <v>105</v>
      </c>
      <c r="I234" s="96">
        <f>IF(G234="Buy",L234,K234)</f>
        <v>19.75</v>
      </c>
      <c r="J234" s="18">
        <f>I234/S234</f>
        <v>8.2767580253122114E-2</v>
      </c>
      <c r="K234" s="35" cm="1">
        <f t="array" ref="K234">_xll.BDP($B234&amp;" Equity","bid")</f>
        <v>19.600000000000001</v>
      </c>
      <c r="L234" s="35" cm="1">
        <f t="array" ref="L234">_xll.BDP($B234&amp;" Equity","ask")</f>
        <v>19.75</v>
      </c>
      <c r="M234" s="39">
        <f>(L234/K234-1)</f>
        <v>7.6530612244898322E-3</v>
      </c>
      <c r="N234" s="35" cm="1">
        <f t="array" ref="N234">_xll.BDP(F234&amp;" Curncy","PX_LAST")</f>
        <v>1</v>
      </c>
      <c r="O234" s="161" cm="1">
        <f t="array" ref="O234">_xll.BDP(B234&amp;" Equity","OPT_MULTIPLIER")</f>
        <v>100</v>
      </c>
      <c r="P234" s="15">
        <f>IF(G234="Buy",((I234/N234)*H234*O234),((I234/N234)*-H234*O234))</f>
        <v>207375</v>
      </c>
      <c r="Q234" s="57">
        <f>P234/'Master P&amp;L'!$AD$5*10000</f>
        <v>0.92329368741628215</v>
      </c>
      <c r="R234" s="36" cm="1">
        <f t="array" ref="R234">_xll.BDP($C234&amp;" Equity","EST_PE_NXT_YR")*(T234/S234)</f>
        <v>26.147808770808336</v>
      </c>
      <c r="S234" s="35" cm="1">
        <f t="array" ref="S234">_xll.BDP(C234&amp;" Equity","LAST_PRICE")</f>
        <v>238.62</v>
      </c>
      <c r="T234" s="52" cm="1">
        <f t="array" ref="T234">_xll.BDP(B234&amp;" Equity","OPT_STRIKE_PX")</f>
        <v>250</v>
      </c>
      <c r="U234" s="39">
        <f>T234/S234-1</f>
        <v>4.7690889280026738E-2</v>
      </c>
      <c r="V234" s="36" cm="1">
        <f t="array" ref="V234">_xll.BDP(B234&amp;" Equity","ivol_mid")</f>
        <v>35.813969999999998</v>
      </c>
      <c r="W234" s="37" cm="1">
        <f t="array" ref="W234">_xll.BDP(B234&amp;" Equity","DELTA_MID_RT")</f>
        <v>0.49777460098266602</v>
      </c>
      <c r="X234" s="47">
        <f>Y234/'Master P&amp;L'!$AE$5</f>
        <v>5.5528039534068381E-4</v>
      </c>
      <c r="Y234" s="15">
        <f>IF(G234="Sell", S234*W234*-H234*O234/N234, S234*W234*H234*O234/N234)</f>
        <v>1247179.2405080795</v>
      </c>
      <c r="Z234" s="15" cm="1">
        <f t="array" ref="Z234">_xll.BDP($B234&amp;" Equity","opt_theta")*H234*O234/N234</f>
        <v>-708.28800000000001</v>
      </c>
      <c r="AA234" s="18" cm="1">
        <f t="array" ref="AA234">_xll.BDP($B234&amp;" Equity","opt_theta")/I234</f>
        <v>-3.4154936708860762E-3</v>
      </c>
      <c r="AB234" s="35" t="str" cm="1">
        <f t="array" ref="AB234">_xll.BDP($C234&amp;" Equity","EXPECTED_REPORT_DT")</f>
        <v>05/02/2026</v>
      </c>
      <c r="AC234" s="15">
        <f>S234*H234*O234/N234</f>
        <v>2505510</v>
      </c>
      <c r="AD234" s="18">
        <f>AC234/'Master P&amp;L'!$AE$5</f>
        <v>1.1155257705887252E-3</v>
      </c>
      <c r="AE234" t="str">
        <f>B234  &amp; " -&gt; Sell to open " &amp;   H234 &amp;"x"</f>
        <v>AMZN US 07/17/26 C250 -&gt; Sell to open 105x</v>
      </c>
    </row>
    <row r="235" spans="1:37">
      <c r="A235" s="433">
        <f>P235/Y235</f>
        <v>0.10631296611859939</v>
      </c>
      <c r="B235" s="58" t="s">
        <v>2286</v>
      </c>
      <c r="C235" t="str" cm="1">
        <f t="array" ref="C235">_xll.BDP(B235&amp;" Equity","OPT_UNDL_TICKER")</f>
        <v>MSFT US</v>
      </c>
      <c r="D235" s="42">
        <f>J235+U235</f>
        <v>0.17373118358016582</v>
      </c>
      <c r="E235" cm="1">
        <f t="array" ref="E235">_xll.BDP($B235&amp;" Index","opt_days_expire")</f>
        <v>164</v>
      </c>
      <c r="F235" t="str" cm="1">
        <f t="array" ref="F235">_xll.BDP(B235&amp;" Equity","QUOTED_CURRENCY_REALTIME")</f>
        <v>USD</v>
      </c>
      <c r="G235" s="104" t="s">
        <v>247</v>
      </c>
      <c r="H235" s="130">
        <v>55</v>
      </c>
      <c r="I235" s="96">
        <f>IF(G235="Buy",L235,K235)</f>
        <v>12.65</v>
      </c>
      <c r="J235" s="18">
        <f>I235/S235</f>
        <v>3.0762870552758934E-2</v>
      </c>
      <c r="K235" s="35" cm="1">
        <f t="array" ref="K235">_xll.BDP($B235&amp;" Equity","bid")</f>
        <v>12.5</v>
      </c>
      <c r="L235" s="35" cm="1">
        <f t="array" ref="L235">_xll.BDP($B235&amp;" Equity","ask")</f>
        <v>12.65</v>
      </c>
      <c r="M235" s="39">
        <f>(L235/K235-1)</f>
        <v>1.2000000000000011E-2</v>
      </c>
      <c r="N235" s="35" cm="1">
        <f t="array" ref="N235">_xll.BDP(F235&amp;" Curncy","PX_LAST")</f>
        <v>1</v>
      </c>
      <c r="O235" s="161" cm="1">
        <f t="array" ref="O235">_xll.BDP(B235&amp;" Equity","OPT_MULTIPLIER")</f>
        <v>100</v>
      </c>
      <c r="P235" s="15">
        <f>IF(G235="Buy",((I235/N235)*H235*O235),((I235/N235)*-H235*O235))</f>
        <v>69575</v>
      </c>
      <c r="Q235" s="57">
        <f>P235/'Master P&amp;L'!$AD$5*10000</f>
        <v>0.30976809307769898</v>
      </c>
      <c r="R235" s="36" cm="1">
        <f t="array" ref="R235">_xll.BDP($C235&amp;" Equity","EST_PE_NXT_YR")*(T235/S235)</f>
        <v>24.683980730182803</v>
      </c>
      <c r="S235" s="35" cm="1">
        <f t="array" ref="S235">_xll.BDP(C235&amp;" Equity","LAST_PRICE")</f>
        <v>411.21</v>
      </c>
      <c r="T235" s="52" cm="1">
        <f t="array" ref="T235">_xll.BDP(B235&amp;" Equity","OPT_STRIKE_PX")</f>
        <v>470</v>
      </c>
      <c r="U235" s="39">
        <f>T235/S235-1</f>
        <v>0.14296831302740687</v>
      </c>
      <c r="V235" s="36" cm="1">
        <f t="array" ref="V235">_xll.BDP(B235&amp;" Equity","ivol_mid")</f>
        <v>27.441140000000001</v>
      </c>
      <c r="W235" s="37" cm="1">
        <f t="array" ref="W235">_xll.BDP(B235&amp;" Equity","DELTA_MID_RT")</f>
        <v>0.28936141729354858</v>
      </c>
      <c r="X235" s="47">
        <f>Y235/'Master P&amp;L'!$AE$5</f>
        <v>2.9137376595450408E-4</v>
      </c>
      <c r="Y235" s="15">
        <f>IF(G235="Sell", S235*W235*-H235*O235/N235, S235*W235*H235*O235/N235)</f>
        <v>654435.69622904062</v>
      </c>
      <c r="Z235" s="15" cm="1">
        <f t="array" ref="Z235">_xll.BDP($B235&amp;" Equity","opt_theta")*H235*O235/N235</f>
        <v>-437.7835</v>
      </c>
      <c r="AA235" s="18" cm="1">
        <f t="array" ref="AA235">_xll.BDP($B235&amp;" Equity","opt_theta")/I235</f>
        <v>-6.2922529644268777E-3</v>
      </c>
      <c r="AB235" s="35" t="str" cm="1">
        <f t="array" ref="AB235">_xll.BDP($C235&amp;" Equity","EXPECTED_REPORT_DT")</f>
        <v>30/04/2026</v>
      </c>
      <c r="AC235" s="15">
        <f>S235*H235*O235/N235</f>
        <v>2261655</v>
      </c>
      <c r="AD235" s="18">
        <f>AC235/'Master P&amp;L'!$AE$5</f>
        <v>1.0069544470709929E-3</v>
      </c>
      <c r="AE235" t="str">
        <f>B235  &amp; " -&gt; Sell to open " &amp;   H235 &amp;"x"</f>
        <v>MSFT US 07/17/26 C470 -&gt; Sell to open 55x</v>
      </c>
    </row>
    <row r="236" spans="1:37">
      <c r="A236" s="433">
        <f>P236/Y236</f>
        <v>0.17407890798083686</v>
      </c>
      <c r="B236" s="58" t="s">
        <v>2288</v>
      </c>
      <c r="C236" t="str" cm="1">
        <f t="array" ref="C236">_xll.BDP(B236&amp;" Equity","OPT_UNDL_TICKER")</f>
        <v>GOOG US</v>
      </c>
      <c r="D236" s="42">
        <f>J236+U236</f>
        <v>0.11960669210449081</v>
      </c>
      <c r="E236" cm="1">
        <f t="array" ref="E236">_xll.BDP($B236&amp;" Index","opt_days_expire")</f>
        <v>164</v>
      </c>
      <c r="F236" t="str" cm="1">
        <f t="array" ref="F236">_xll.BDP(B236&amp;" Equity","QUOTED_CURRENCY_REALTIME")</f>
        <v>USD</v>
      </c>
      <c r="G236" s="104" t="s">
        <v>247</v>
      </c>
      <c r="H236" s="130">
        <v>70</v>
      </c>
      <c r="I236" s="96">
        <f>IF(G236="Buy",L236,K236)</f>
        <v>31.45</v>
      </c>
      <c r="J236" s="18">
        <f>I236/S236</f>
        <v>9.2309950102729674E-2</v>
      </c>
      <c r="K236" s="35" cm="1">
        <f t="array" ref="K236">_xll.BDP($B236&amp;" Equity","bid")</f>
        <v>31.2</v>
      </c>
      <c r="L236" s="35" cm="1">
        <f t="array" ref="L236">_xll.BDP($B236&amp;" Equity","ask")</f>
        <v>31.45</v>
      </c>
      <c r="M236" s="39">
        <f>(L236/K236-1)</f>
        <v>8.0128205128204844E-3</v>
      </c>
      <c r="N236" s="35" cm="1">
        <f t="array" ref="N236">_xll.BDP(F236&amp;" Curncy","PX_LAST")</f>
        <v>1</v>
      </c>
      <c r="O236" s="161" cm="1">
        <f t="array" ref="O236">_xll.BDP(B236&amp;" Equity","OPT_MULTIPLIER")</f>
        <v>100</v>
      </c>
      <c r="P236" s="15">
        <f>IF(G236="Buy",((I236/N236)*H236*O236),((I236/N236)*-H236*O236))</f>
        <v>220150</v>
      </c>
      <c r="Q236" s="57">
        <f>P236/'Master P&amp;L'!$AD$5*10000</f>
        <v>0.98017169516428937</v>
      </c>
      <c r="R236" s="36" cm="1">
        <f t="array" ref="R236">_xll.BDP($C236&amp;" Equity","EST_PE_NXT_YR")*(T236/S236)</f>
        <v>29.742284120479354</v>
      </c>
      <c r="S236" s="35" cm="1">
        <f t="array" ref="S236">_xll.BDP(C236&amp;" Equity","LAST_PRICE")</f>
        <v>340.7</v>
      </c>
      <c r="T236" s="52" cm="1">
        <f t="array" ref="T236">_xll.BDP(B236&amp;" Equity","OPT_STRIKE_PX")</f>
        <v>350</v>
      </c>
      <c r="U236" s="39">
        <f>T236/S236-1</f>
        <v>2.7296742001761132E-2</v>
      </c>
      <c r="V236" s="36" cm="1">
        <f t="array" ref="V236">_xll.BDP(B236&amp;" Equity","ivol_mid")</f>
        <v>36.288409999999999</v>
      </c>
      <c r="W236" s="37" cm="1">
        <f t="array" ref="W236">_xll.BDP(B236&amp;" Equity","DELTA_MID_RT")</f>
        <v>0.53027647733688354</v>
      </c>
      <c r="X236" s="47">
        <f>Y236/'Master P&amp;L'!$AE$5</f>
        <v>5.6306172099390109E-4</v>
      </c>
      <c r="Y236" s="15">
        <f>IF(G236="Sell", S236*W236*-H236*O236/N236, S236*W236*H236*O236/N236)</f>
        <v>1264656.3708007336</v>
      </c>
      <c r="Z236" s="15" cm="1">
        <f t="array" ref="Z236">_xll.BDP($B236&amp;" Equity","opt_theta")*H236*O236/N236</f>
        <v>-709.90499999999997</v>
      </c>
      <c r="AA236" s="18" cm="1">
        <f t="array" ref="AA236">_xll.BDP($B236&amp;" Equity","opt_theta")/I236</f>
        <v>-3.2246422893481719E-3</v>
      </c>
      <c r="AB236" s="35" t="str" cm="1">
        <f t="array" ref="AB236">_xll.BDP($C236&amp;" Equity","EXPECTED_REPORT_DT")</f>
        <v>04/02/2026</v>
      </c>
      <c r="AC236" s="15">
        <f>S236*H236*O236/N236</f>
        <v>2384900</v>
      </c>
      <c r="AD236" s="18">
        <f>AC236/'Master P&amp;L'!$AE$5</f>
        <v>1.061826698068278E-3</v>
      </c>
      <c r="AE236" t="str">
        <f>B236  &amp; " -&gt; Sell to open " &amp;   H236 &amp;"x"</f>
        <v>GOOG US 07/17/26 C350 -&gt; Sell to open 70x</v>
      </c>
    </row>
    <row r="237" spans="1:37">
      <c r="A237" s="433">
        <f>P237/Y237</f>
        <v>0.20074462635750545</v>
      </c>
      <c r="B237" s="58" t="s">
        <v>2289</v>
      </c>
      <c r="C237" t="str" cm="1">
        <f t="array" ref="C237">_xll.BDP(B237&amp;" Equity","OPT_UNDL_TICKER")</f>
        <v>NVDA US</v>
      </c>
      <c r="D237" s="42">
        <f>J237+U237</f>
        <v>0.17777531329710547</v>
      </c>
      <c r="E237" cm="1">
        <f t="array" ref="E237">_xll.BDP($B237&amp;" Index","opt_days_expire")</f>
        <v>164</v>
      </c>
      <c r="F237" t="str" cm="1">
        <f t="array" ref="F237">_xll.BDP(B237&amp;" Equity","QUOTED_CURRENCY_REALTIME")</f>
        <v>USD</v>
      </c>
      <c r="G237" s="104" t="s">
        <v>247</v>
      </c>
      <c r="H237" s="130">
        <v>135</v>
      </c>
      <c r="I237" s="96">
        <f>IF(G237="Buy",L237,K237)</f>
        <v>17.399999999999999</v>
      </c>
      <c r="J237" s="18">
        <f>I237/S237</f>
        <v>9.6484418320949311E-2</v>
      </c>
      <c r="K237" s="35" cm="1">
        <f t="array" ref="K237">_xll.BDP($B237&amp;" Equity","bid")</f>
        <v>17.3</v>
      </c>
      <c r="L237" s="35" cm="1">
        <f t="array" ref="L237">_xll.BDP($B237&amp;" Equity","ask")</f>
        <v>17.399999999999999</v>
      </c>
      <c r="M237" s="39">
        <f>(L237/K237-1)</f>
        <v>5.7803468208090791E-3</v>
      </c>
      <c r="N237" s="35" cm="1">
        <f t="array" ref="N237">_xll.BDP(F237&amp;" Curncy","PX_LAST")</f>
        <v>1</v>
      </c>
      <c r="O237" s="161" cm="1">
        <f t="array" ref="O237">_xll.BDP(B237&amp;" Equity","OPT_MULTIPLIER")</f>
        <v>100</v>
      </c>
      <c r="P237" s="15">
        <f>IF(G237="Buy",((I237/N237)*H237*O237),((I237/N237)*-H237*O237))</f>
        <v>234900</v>
      </c>
      <c r="Q237" s="57">
        <f>P237/'Master P&amp;L'!$AD$5*10000</f>
        <v>1.045842976125785</v>
      </c>
      <c r="R237" s="36" cm="1">
        <f t="array" ref="R237">_xll.BDP($C237&amp;" Equity","EST_PE_NXT_YR")*(T237/S237)</f>
        <v>25.125962398582868</v>
      </c>
      <c r="S237" s="35" cm="1">
        <f t="array" ref="S237">_xll.BDP(C237&amp;" Equity","LAST_PRICE")</f>
        <v>180.34</v>
      </c>
      <c r="T237" s="52" cm="1">
        <f t="array" ref="T237">_xll.BDP(B237&amp;" Equity","OPT_STRIKE_PX")</f>
        <v>195</v>
      </c>
      <c r="U237" s="39">
        <f>T237/S237-1</f>
        <v>8.1290894976156158E-2</v>
      </c>
      <c r="V237" s="36" cm="1">
        <f t="array" ref="V237">_xll.BDP(B237&amp;" Equity","ivol_mid")</f>
        <v>45.903440000000003</v>
      </c>
      <c r="W237" s="37" cm="1">
        <f t="array" ref="W237">_xll.BDP(B237&amp;" Equity","DELTA_MID_RT")</f>
        <v>0.48063263297080994</v>
      </c>
      <c r="X237" s="47">
        <f>Y237/'Master P&amp;L'!$AE$5</f>
        <v>5.2098180414714894E-4</v>
      </c>
      <c r="Y237" s="15">
        <f>IF(G237="Sell", S237*W237*-H237*O237/N237, S237*W237*H237*O237/N237)</f>
        <v>1170143.4019044044</v>
      </c>
      <c r="Z237" s="15" cm="1">
        <f t="array" ref="Z237">_xll.BDP($B237&amp;" Equity","opt_theta")*H237*O237/N237</f>
        <v>-883.95299999999997</v>
      </c>
      <c r="AA237" s="18" cm="1">
        <f t="array" ref="AA237">_xll.BDP($B237&amp;" Equity","opt_theta")/I237</f>
        <v>-3.763103448275862E-3</v>
      </c>
      <c r="AB237" s="35" t="str" cm="1">
        <f t="array" ref="AB237">_xll.BDP($C237&amp;" Equity","EXPECTED_REPORT_DT")</f>
        <v>25/02/2026</v>
      </c>
      <c r="AC237" s="15">
        <f>S237*H237*O237/N237</f>
        <v>2434590</v>
      </c>
      <c r="AD237" s="18">
        <f>AC237/'Master P&amp;L'!$AE$5</f>
        <v>1.0839501282443912E-3</v>
      </c>
      <c r="AE237" t="str">
        <f>B237  &amp; " -&gt; Sell to open " &amp;   H237 &amp;"x"</f>
        <v>NVDA US 07/17/26 C195 -&gt; Sell to open 135x</v>
      </c>
    </row>
    <row r="239" spans="1:37">
      <c r="A239" s="232"/>
      <c r="B239" s="72"/>
      <c r="D239" s="63"/>
      <c r="G239" s="104"/>
      <c r="H239" s="130"/>
      <c r="I239" s="96">
        <f>I234-I233</f>
        <v>-54.599999999999994</v>
      </c>
      <c r="J239" s="18"/>
      <c r="K239" s="108">
        <f>AVERAGE(K233:L233)-AVERAGE(K234:L234)</f>
        <v>53.575000000000003</v>
      </c>
      <c r="L239" s="35"/>
      <c r="M239" s="39"/>
      <c r="N239" s="35"/>
      <c r="O239" s="161"/>
      <c r="P239" s="15"/>
      <c r="Q239" s="57"/>
      <c r="R239" s="36"/>
      <c r="S239" s="35"/>
      <c r="T239" s="52"/>
      <c r="U239" s="39"/>
      <c r="V239" s="36"/>
      <c r="W239" s="37"/>
      <c r="X239" s="47"/>
      <c r="Y239" s="15"/>
      <c r="Z239" s="15"/>
      <c r="AA239" s="18"/>
      <c r="AB239" s="35"/>
      <c r="AC239" s="15"/>
      <c r="AD239" s="47"/>
    </row>
    <row r="240" spans="1:37">
      <c r="A240" s="232"/>
      <c r="B240" s="72"/>
      <c r="D240" s="63"/>
      <c r="G240" s="104"/>
      <c r="H240" s="130"/>
      <c r="I240" s="96"/>
      <c r="J240" s="18"/>
      <c r="K240" s="35"/>
      <c r="L240" s="35"/>
      <c r="M240" s="39"/>
      <c r="N240" s="35"/>
      <c r="O240" s="161"/>
      <c r="P240" s="15"/>
      <c r="Q240" s="57"/>
      <c r="R240" s="36"/>
      <c r="S240" s="35"/>
      <c r="T240" s="52"/>
      <c r="U240" s="39"/>
      <c r="V240" s="36"/>
      <c r="W240" s="37"/>
      <c r="X240" s="47"/>
      <c r="Y240" s="15"/>
      <c r="Z240" s="15"/>
      <c r="AA240" s="18"/>
      <c r="AB240" s="35"/>
      <c r="AC240" s="15"/>
      <c r="AD240" s="18"/>
    </row>
    <row r="244" spans="4:6">
      <c r="D244">
        <v>1</v>
      </c>
      <c r="E244">
        <v>1.45</v>
      </c>
      <c r="F244">
        <f>E244</f>
        <v>1.45</v>
      </c>
    </row>
    <row r="245" spans="4:6">
      <c r="D245">
        <v>1</v>
      </c>
      <c r="E245">
        <v>1.17</v>
      </c>
      <c r="F245">
        <f>F244*E245</f>
        <v>1.6964999999999999</v>
      </c>
    </row>
    <row r="246" spans="4:6">
      <c r="D246">
        <v>1</v>
      </c>
      <c r="E246">
        <v>1.07</v>
      </c>
      <c r="F246">
        <f>F245*E246</f>
        <v>1.8152550000000001</v>
      </c>
    </row>
    <row r="247" spans="4:6">
      <c r="D247">
        <v>1</v>
      </c>
      <c r="E247">
        <v>1.03</v>
      </c>
      <c r="F247">
        <f>F246*E247</f>
        <v>1.8697126500000001</v>
      </c>
    </row>
    <row r="248" spans="4:6">
      <c r="E248">
        <f>SUM(E244:E247)/4</f>
        <v>1.1800000000000002</v>
      </c>
    </row>
  </sheetData>
  <phoneticPr fontId="5" type="noConversion"/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C9680-8A17-4F57-93E3-0C8EAAA0B9D1}">
  <sheetPr codeName="Sheet20">
    <tabColor theme="5" tint="0.79998168889431442"/>
  </sheetPr>
  <dimension ref="A1:V400"/>
  <sheetViews>
    <sheetView showGridLines="0" zoomScale="70" zoomScaleNormal="70" workbookViewId="0">
      <selection activeCell="G19" sqref="G19"/>
    </sheetView>
  </sheetViews>
  <sheetFormatPr defaultRowHeight="15" outlineLevelCol="1"/>
  <cols>
    <col min="2" max="2" width="25" style="170" bestFit="1" customWidth="1"/>
    <col min="3" max="3" width="20.28515625" style="4" bestFit="1" customWidth="1"/>
    <col min="4" max="4" width="17.85546875" style="4" customWidth="1" outlineLevel="1"/>
    <col min="5" max="5" width="12.140625" bestFit="1" customWidth="1"/>
    <col min="6" max="6" width="20" style="4" customWidth="1" outlineLevel="1"/>
    <col min="7" max="7" width="33.140625" style="4" customWidth="1" outlineLevel="1"/>
    <col min="8" max="8" width="14" style="213" customWidth="1" outlineLevel="1"/>
    <col min="9" max="9" width="17.85546875" customWidth="1" outlineLevel="1"/>
    <col min="10" max="10" width="12.140625" customWidth="1" outlineLevel="1"/>
    <col min="11" max="11" width="20" bestFit="1" customWidth="1"/>
    <col min="12" max="12" width="21.5703125" bestFit="1" customWidth="1"/>
    <col min="13" max="13" width="21.5703125" customWidth="1"/>
    <col min="15" max="15" width="40" style="170" bestFit="1" customWidth="1"/>
    <col min="16" max="16" width="17.85546875" bestFit="1" customWidth="1"/>
    <col min="17" max="17" width="15.85546875" bestFit="1" customWidth="1"/>
    <col min="18" max="18" width="15.28515625" bestFit="1" customWidth="1"/>
    <col min="19" max="19" width="12.140625" bestFit="1" customWidth="1"/>
  </cols>
  <sheetData>
    <row r="1" spans="2:22">
      <c r="F1" s="229" t="s">
        <v>282</v>
      </c>
      <c r="G1" s="229" t="s">
        <v>283</v>
      </c>
      <c r="H1" s="7"/>
      <c r="N1">
        <f>2900+860</f>
        <v>3760</v>
      </c>
    </row>
    <row r="2" spans="2:22">
      <c r="H2"/>
      <c r="K2" s="213"/>
    </row>
    <row r="3" spans="2:22">
      <c r="H3"/>
      <c r="K3" s="21" t="s">
        <v>168</v>
      </c>
      <c r="L3" s="21" t="s">
        <v>168</v>
      </c>
      <c r="M3" s="162" t="s">
        <v>1749</v>
      </c>
    </row>
    <row r="4" spans="2:22">
      <c r="B4" s="269" t="s">
        <v>284</v>
      </c>
      <c r="C4" s="227" t="s">
        <v>285</v>
      </c>
      <c r="D4" s="227" t="s">
        <v>286</v>
      </c>
      <c r="E4" s="211" t="s">
        <v>287</v>
      </c>
      <c r="F4" s="227" t="s">
        <v>288</v>
      </c>
      <c r="G4" s="227" t="s">
        <v>289</v>
      </c>
      <c r="H4" s="211" t="s">
        <v>290</v>
      </c>
      <c r="I4" s="211" t="s">
        <v>286</v>
      </c>
      <c r="J4" s="211" t="s">
        <v>287</v>
      </c>
      <c r="K4" s="227" t="s">
        <v>288</v>
      </c>
      <c r="L4" s="227" t="s">
        <v>289</v>
      </c>
      <c r="M4" s="227" t="s">
        <v>291</v>
      </c>
      <c r="O4" s="269" t="s">
        <v>292</v>
      </c>
      <c r="P4" s="211" t="s">
        <v>286</v>
      </c>
      <c r="Q4" s="211" t="s">
        <v>293</v>
      </c>
      <c r="R4" s="215" t="s">
        <v>294</v>
      </c>
    </row>
    <row r="5" spans="2:22">
      <c r="B5" s="170" t="s">
        <v>173</v>
      </c>
      <c r="C5" s="228">
        <f>IF(B5="","",IF(LEN(B5)&gt;9,SUMIFS(Options!$H$3:$H$32,Options!$B$3:$B$32,Check!B5),SUMIFS('Master P&amp;L'!$H$11:$H$106,'Master P&amp;L'!$B$11:$B$106,Check!B5)))</f>
        <v>0</v>
      </c>
      <c r="D5" s="228">
        <f>IF(B5="","",SUMIFS(Input_APM!N:N,Input_APM!L:L,Check!B5,Input_APM!M:M,Check!$F$1))</f>
        <v>0</v>
      </c>
      <c r="E5" s="214">
        <f>IF(B5="","",C5-M5)</f>
        <v>0</v>
      </c>
      <c r="F5" s="228">
        <f>IF(B5="","",SUMIFS(Input_APM!N:N,Input_APM!M:M,Check!$F$1,Input_APM!L:L,Check!B5))</f>
        <v>0</v>
      </c>
      <c r="G5" s="228">
        <f>IF(B5="","",SUMIFS(Input_APM!N:N,Input_APM!M:M,Check!$G$1,Input_APM!L:L,Check!B5))</f>
        <v>0</v>
      </c>
      <c r="H5" s="212">
        <f>IF(B5="","",F5-G5)</f>
        <v>0</v>
      </c>
      <c r="I5" s="212">
        <f>SUMIFS(Input_APM!N:N,Input_APM!L:L,Check!B5)</f>
        <v>0</v>
      </c>
      <c r="J5" s="214">
        <f>IF(B5="","",(F5+G5)-I5)</f>
        <v>0</v>
      </c>
      <c r="K5" s="21">
        <f>IF(B5="","",SUMIFS('Input_APM (Zenith)'!N:N,'Input_APM (Zenith)'!L:L,Check!B5,'Input_APM (Zenith)'!M:M,Check!$F$1))</f>
        <v>0</v>
      </c>
      <c r="L5" s="21">
        <f>IF(B5="","",SUMIFS('Input_APM (Zenith)'!N:N,'Input_APM (Zenith)'!L:L,Check!B5,'Input_APM (Zenith)'!M:M,Check!$G$1))</f>
        <v>0</v>
      </c>
      <c r="M5" s="234">
        <f>IF(B5="","",F5+G5+K5+L5)</f>
        <v>0</v>
      </c>
      <c r="O5" s="170" t="s">
        <v>79</v>
      </c>
      <c r="P5" s="212">
        <f>IF(O5="","",IF(OR(LEFT(O5,4)="Cash",LEFT(O5,4)="Prov"),0,SUMIFS(Input_APM!N:N,Input_APM!L:L,Check!O5)))</f>
        <v>2816</v>
      </c>
      <c r="Q5" s="21">
        <f>IF(O5="","",IF(LEN(O5)&gt;9,SUMIFS(Options!$H$3:$H$32,Options!$B$3:$B$32,Check!O5),SUMIFS('Master P&amp;L'!$H$11:$H$106,'Master P&amp;L'!$B$11:$B$106,Check!O5)))</f>
        <v>8500</v>
      </c>
      <c r="R5" s="212">
        <f>IF(O5="","",P5-Q5)</f>
        <v>-5684</v>
      </c>
      <c r="S5" s="355">
        <f>IF(O5="","",IF((P5+Q5)=0,"Ok",IF(OR(P5=0,Q5=0),"Erro",P5/Q5)))</f>
        <v>0.33129411764705885</v>
      </c>
      <c r="V5" s="13"/>
    </row>
    <row r="6" spans="2:22">
      <c r="B6" t="s">
        <v>461</v>
      </c>
      <c r="C6" s="228">
        <f>IF(B6="","",IF(LEN(B6)&gt;9,SUMIFS(Options!$H$3:$H$32,Options!$B$3:$B$32,Check!B6),SUMIFS('Master P&amp;L'!$H$11:$H$106,'Master P&amp;L'!$B$11:$B$106,Check!B6)))</f>
        <v>3378</v>
      </c>
      <c r="D6" s="228">
        <f>IF(B6="","",SUMIFS(Input_APM!N:N,Input_APM!L:L,Check!B6,Input_APM!M:M,Check!$F$1))</f>
        <v>3163</v>
      </c>
      <c r="E6" s="214">
        <f>IF(B6="","",C6-M6)</f>
        <v>0</v>
      </c>
      <c r="F6" s="228">
        <f>IF(B6="","",SUMIFS(Input_APM!N:N,Input_APM!M:M,Check!$F$1,Input_APM!L:L,Check!B6))</f>
        <v>3163</v>
      </c>
      <c r="G6" s="228">
        <f>IF(B6="","",SUMIFS(Input_APM!N:N,Input_APM!M:M,Check!$G$1,Input_APM!L:L,Check!B6))</f>
        <v>0</v>
      </c>
      <c r="H6" s="212">
        <f t="shared" ref="H6:H69" si="0">IF(B6="","",F6-G6)</f>
        <v>3163</v>
      </c>
      <c r="I6" s="212">
        <f>SUMIFS(Input_APM!N:N,Input_APM!L:L,Check!B6)</f>
        <v>3163</v>
      </c>
      <c r="J6" s="214">
        <f>IF(B6="","",(F6+G6)-I6)</f>
        <v>0</v>
      </c>
      <c r="K6" s="21">
        <f>IF(B6="","",SUMIFS('Input_APM (Zenith)'!N:N,'Input_APM (Zenith)'!L:L,Check!B6,'Input_APM (Zenith)'!M:M,Check!$F$1))</f>
        <v>215</v>
      </c>
      <c r="L6" s="21">
        <f>IF(B6="","",SUMIFS('Input_APM (Zenith)'!N:N,'Input_APM (Zenith)'!L:L,Check!B6,'Input_APM (Zenith)'!M:M,Check!$G$1))</f>
        <v>0</v>
      </c>
      <c r="M6" s="234">
        <f>IF(B6="","",F6+G6+K6+L6)</f>
        <v>3378</v>
      </c>
      <c r="O6" t="s">
        <v>2445</v>
      </c>
      <c r="P6" s="212">
        <f>IF(O6="","",IF(OR(LEFT(O6,4)="Cash",LEFT(O6,4)="Prov"),0,SUMIFS(Input_APM!N:N,Input_APM!L:L,Check!O6)))</f>
        <v>329</v>
      </c>
      <c r="Q6" s="21">
        <f>IF(O6="","",IF(LEN(O6)&gt;9,SUMIFS(Options!$H$3:$H$32,Options!$B$3:$B$32,Check!O6),SUMIFS('Master P&amp;L'!$H$11:$H$106,'Master P&amp;L'!$B$11:$B$106,Check!O6)))</f>
        <v>350</v>
      </c>
      <c r="R6" s="212">
        <f t="shared" ref="R6:R69" si="1">IF(O6="","",P6-Q6)</f>
        <v>-21</v>
      </c>
      <c r="S6" s="355">
        <f t="shared" ref="S6:S69" si="2">IF(O6="","",IF((P6+Q6)=0,"Ok",IF(OR(P6=0,Q6=0),"Erro",P6/Q6)))</f>
        <v>0.94</v>
      </c>
      <c r="V6" s="13"/>
    </row>
    <row r="7" spans="2:22">
      <c r="B7" t="s">
        <v>2138</v>
      </c>
      <c r="C7" s="228">
        <f>IF(B7="","",IF(LEN(B7)&gt;9,SUMIFS(Options!$H$3:$H$32,Options!$B$3:$B$32,Check!B7),SUMIFS('Master P&amp;L'!$H$11:$H$106,'Master P&amp;L'!$B$11:$B$106,Check!B7)))</f>
        <v>3510</v>
      </c>
      <c r="D7" s="228">
        <f>IF(B7="","",SUMIFS(Input_APM!N:N,Input_APM!L:L,Check!B7,Input_APM!M:M,Check!$F$1))</f>
        <v>3285</v>
      </c>
      <c r="E7" s="214">
        <f>IF(B7="","",C7-M7)</f>
        <v>0</v>
      </c>
      <c r="F7" s="228">
        <f>IF(B7="","",SUMIFS(Input_APM!N:N,Input_APM!M:M,Check!$F$1,Input_APM!L:L,Check!B7))</f>
        <v>3285</v>
      </c>
      <c r="G7" s="228">
        <f>IF(B7="","",SUMIFS(Input_APM!N:N,Input_APM!M:M,Check!$G$1,Input_APM!L:L,Check!B7))</f>
        <v>0</v>
      </c>
      <c r="H7" s="212">
        <f>IF(B7="","",F7-G7)</f>
        <v>3285</v>
      </c>
      <c r="I7" s="212">
        <f>SUMIFS(Input_APM!N:N,Input_APM!L:L,Check!B7)</f>
        <v>3285</v>
      </c>
      <c r="J7" s="214">
        <f t="shared" ref="J7:J69" si="3">IF(B7="","",(F7+G7)-I7)</f>
        <v>0</v>
      </c>
      <c r="K7" s="21">
        <f>IF(B7="","",SUMIFS('Input_APM (Zenith)'!N:N,'Input_APM (Zenith)'!L:L,Check!B7,'Input_APM (Zenith)'!M:M,Check!$F$1))</f>
        <v>225</v>
      </c>
      <c r="L7" s="21">
        <f>IF(B7="","",SUMIFS('Input_APM (Zenith)'!N:N,'Input_APM (Zenith)'!L:L,Check!B7,'Input_APM (Zenith)'!M:M,Check!$G$1))</f>
        <v>0</v>
      </c>
      <c r="M7" s="234">
        <f t="shared" ref="M7:M69" si="4">IF(B7="","",F7+G7+K7+L7)</f>
        <v>3510</v>
      </c>
      <c r="O7" t="s">
        <v>2446</v>
      </c>
      <c r="P7" s="212">
        <f>IF(O7="","",IF(OR(LEFT(O7,4)="Cash",LEFT(O7,4)="Prov"),0,SUMIFS(Input_APM!N:N,Input_APM!L:L,Check!O7)))</f>
        <v>-329</v>
      </c>
      <c r="Q7" s="21">
        <f>IF(O7="","",IF(LEN(O7)&gt;9,SUMIFS(Options!$H$3:$H$32,Options!$B$3:$B$32,Check!O7),SUMIFS('Master P&amp;L'!$H$11:$H$106,'Master P&amp;L'!$B$11:$B$106,Check!O7)))</f>
        <v>-350</v>
      </c>
      <c r="R7" s="212">
        <f t="shared" si="1"/>
        <v>21</v>
      </c>
      <c r="S7" s="355">
        <f t="shared" si="2"/>
        <v>0.94</v>
      </c>
      <c r="V7" s="13"/>
    </row>
    <row r="8" spans="2:22">
      <c r="B8" t="s">
        <v>38</v>
      </c>
      <c r="C8" s="228">
        <f>IF(B8="","",IF(LEN(B8)&gt;9,SUMIFS(Options!$H$3:$H$32,Options!$B$3:$B$32,Check!B8),SUMIFS('Master P&amp;L'!$H$11:$H$106,'Master P&amp;L'!$B$11:$B$106,Check!B8)))</f>
        <v>21000</v>
      </c>
      <c r="D8" s="228">
        <f>IF(B8="","",SUMIFS(Input_APM!N:N,Input_APM!L:L,Check!B8,Input_APM!M:M,Check!$F$1))</f>
        <v>19706</v>
      </c>
      <c r="E8" s="214">
        <f>IF(B8="","",C8-M8)</f>
        <v>0</v>
      </c>
      <c r="F8" s="228">
        <f>IF(B8="","",SUMIFS(Input_APM!N:N,Input_APM!M:M,Check!$F$1,Input_APM!L:L,Check!B8))</f>
        <v>19706</v>
      </c>
      <c r="G8" s="228">
        <f>IF(B8="","",SUMIFS(Input_APM!N:N,Input_APM!M:M,Check!$G$1,Input_APM!L:L,Check!B8))</f>
        <v>0</v>
      </c>
      <c r="H8" s="212">
        <f t="shared" si="0"/>
        <v>19706</v>
      </c>
      <c r="I8" s="212">
        <f>SUMIFS(Input_APM!N:N,Input_APM!L:L,Check!B8)</f>
        <v>19706</v>
      </c>
      <c r="J8" s="214">
        <f t="shared" si="3"/>
        <v>0</v>
      </c>
      <c r="K8" s="21">
        <f>IF(B8="","",SUMIFS('Input_APM (Zenith)'!N:N,'Input_APM (Zenith)'!L:L,Check!B8,'Input_APM (Zenith)'!M:M,Check!$F$1))</f>
        <v>1294</v>
      </c>
      <c r="L8" s="21">
        <f>IF(B8="","",SUMIFS('Input_APM (Zenith)'!N:N,'Input_APM (Zenith)'!L:L,Check!B8,'Input_APM (Zenith)'!M:M,Check!$G$1))</f>
        <v>0</v>
      </c>
      <c r="M8" s="234">
        <f t="shared" si="4"/>
        <v>21000</v>
      </c>
      <c r="O8" t="s">
        <v>2353</v>
      </c>
      <c r="P8" s="212">
        <f>IF(O8="","",IF(OR(LEFT(O8,4)="Cash",LEFT(O8,4)="Prov"),0,SUMIFS(Input_APM!N:N,Input_APM!L:L,Check!O8)))</f>
        <v>7238</v>
      </c>
      <c r="Q8" s="21">
        <f>IF(O8="","",IF(LEN(O8)&gt;9,SUMIFS(Options!$H$3:$H$32,Options!$B$3:$B$32,Check!O8),SUMIFS('Master P&amp;L'!$H$11:$H$106,'Master P&amp;L'!$B$11:$B$106,Check!O8)))</f>
        <v>10216</v>
      </c>
      <c r="R8" s="212">
        <f t="shared" si="1"/>
        <v>-2978</v>
      </c>
      <c r="S8" s="355">
        <f t="shared" si="2"/>
        <v>0.70849647611589661</v>
      </c>
      <c r="V8" s="13"/>
    </row>
    <row r="9" spans="2:22">
      <c r="B9" t="s">
        <v>1908</v>
      </c>
      <c r="C9" s="228">
        <f>IF(B9="","",IF(LEN(B9)&gt;9,SUMIFS(Options!$H$3:$H$32,Options!$B$3:$B$32,Check!B9),SUMIFS('Master P&amp;L'!$H$11:$H$106,'Master P&amp;L'!$B$11:$B$106,Check!B9)))</f>
        <v>-30</v>
      </c>
      <c r="D9" s="228">
        <f>IF(B9="","",SUMIFS(Input_APM!N:N,Input_APM!L:L,Check!B9,Input_APM!M:M,Check!$F$1))</f>
        <v>0</v>
      </c>
      <c r="E9" s="214">
        <f>IF(B9="","",C9-M9)</f>
        <v>-30</v>
      </c>
      <c r="F9" s="228">
        <f>IF(B9="","",SUMIFS(Input_APM!N:N,Input_APM!M:M,Check!$F$1,Input_APM!L:L,Check!B9))</f>
        <v>0</v>
      </c>
      <c r="G9" s="228">
        <f>IF(B9="","",SUMIFS(Input_APM!N:N,Input_APM!M:M,Check!$G$1,Input_APM!L:L,Check!B9))</f>
        <v>0</v>
      </c>
      <c r="H9" s="212">
        <f t="shared" si="0"/>
        <v>0</v>
      </c>
      <c r="I9" s="212">
        <f>SUMIFS(Input_APM!N:N,Input_APM!L:L,Check!B9)</f>
        <v>0</v>
      </c>
      <c r="J9" s="214">
        <f t="shared" si="3"/>
        <v>0</v>
      </c>
      <c r="K9" s="21">
        <f>IF(B9="","",SUMIFS('Input_APM (Zenith)'!N:N,'Input_APM (Zenith)'!L:L,Check!B9,'Input_APM (Zenith)'!M:M,Check!$F$1))</f>
        <v>0</v>
      </c>
      <c r="L9" s="21">
        <f>IF(B9="","",SUMIFS('Input_APM (Zenith)'!N:N,'Input_APM (Zenith)'!L:L,Check!B9,'Input_APM (Zenith)'!M:M,Check!$G$1))</f>
        <v>0</v>
      </c>
      <c r="M9" s="234">
        <f t="shared" si="4"/>
        <v>0</v>
      </c>
      <c r="O9" t="s">
        <v>399</v>
      </c>
      <c r="P9" s="212">
        <f>IF(O9="","",IF(OR(LEFT(O9,4)="Cash",LEFT(O9,4)="Prov"),0,SUMIFS(Input_APM!N:N,Input_APM!L:L,Check!O9)))</f>
        <v>13772</v>
      </c>
      <c r="Q9" s="21">
        <f>IF(O9="","",IF(LEN(O9)&gt;9,SUMIFS(Options!$H$3:$H$32,Options!$B$3:$B$32,Check!O9),SUMIFS('Master P&amp;L'!$H$11:$H$106,'Master P&amp;L'!$B$11:$B$106,Check!O9)))</f>
        <v>14700</v>
      </c>
      <c r="R9" s="212">
        <f t="shared" si="1"/>
        <v>-928</v>
      </c>
      <c r="S9" s="355">
        <f t="shared" si="2"/>
        <v>0.93687074829931971</v>
      </c>
      <c r="V9" s="13"/>
    </row>
    <row r="10" spans="2:22">
      <c r="B10" t="s">
        <v>2451</v>
      </c>
      <c r="C10" s="228">
        <f>IF(B10="","",IF(LEN(B10)&gt;9,SUMIFS(Options!$H$3:$H$32,Options!$B$3:$B$32,Check!B10),SUMIFS('Master P&amp;L'!$H$11:$H$106,'Master P&amp;L'!$B$11:$B$106,Check!B10)))</f>
        <v>0</v>
      </c>
      <c r="D10" s="228">
        <f>IF(B10="","",SUMIFS(Input_APM!N:N,Input_APM!L:L,Check!B10,Input_APM!M:M,Check!$F$1))</f>
        <v>0</v>
      </c>
      <c r="E10" s="212">
        <f t="shared" ref="E10:E65" si="5">IF(B10="","",C10-M10)</f>
        <v>0</v>
      </c>
      <c r="F10" s="228">
        <f>IF(B10="","",SUMIFS(Input_APM!N:N,Input_APM!M:M,Check!$F$1,Input_APM!L:L,Check!B10))</f>
        <v>0</v>
      </c>
      <c r="G10" s="228">
        <f>IF(B10="","",SUMIFS(Input_APM!N:N,Input_APM!M:M,Check!$G$1,Input_APM!L:L,Check!B10))</f>
        <v>0</v>
      </c>
      <c r="H10" s="212">
        <f t="shared" si="0"/>
        <v>0</v>
      </c>
      <c r="I10" s="212">
        <f>SUMIFS(Input_APM!N:N,Input_APM!L:L,Check!B10)</f>
        <v>0</v>
      </c>
      <c r="J10" s="214">
        <f t="shared" si="3"/>
        <v>0</v>
      </c>
      <c r="K10" s="21">
        <f>IF(B10="","",SUMIFS('Input_APM (Zenith)'!N:N,'Input_APM (Zenith)'!L:L,Check!B10,'Input_APM (Zenith)'!M:M,Check!$F$1))</f>
        <v>0</v>
      </c>
      <c r="L10" s="21">
        <f>IF(B10="","",SUMIFS('Input_APM (Zenith)'!N:N,'Input_APM (Zenith)'!L:L,Check!B10,'Input_APM (Zenith)'!M:M,Check!$G$1))</f>
        <v>0</v>
      </c>
      <c r="M10" s="234">
        <f t="shared" si="4"/>
        <v>0</v>
      </c>
      <c r="O10" t="s">
        <v>38</v>
      </c>
      <c r="P10" s="212">
        <f>IF(O10="","",IF(OR(LEFT(O10,4)="Cash",LEFT(O10,4)="Prov"),0,SUMIFS(Input_APM!N:N,Input_APM!L:L,Check!O10)))</f>
        <v>19706</v>
      </c>
      <c r="Q10" s="21">
        <f>IF(O10="","",IF(LEN(O10)&gt;9,SUMIFS(Options!$H$3:$H$32,Options!$B$3:$B$32,Check!O10),SUMIFS('Master P&amp;L'!$H$11:$H$106,'Master P&amp;L'!$B$11:$B$106,Check!O10)))</f>
        <v>21000</v>
      </c>
      <c r="R10" s="212">
        <f t="shared" si="1"/>
        <v>-1294</v>
      </c>
      <c r="S10" s="355">
        <f t="shared" si="2"/>
        <v>0.93838095238095243</v>
      </c>
      <c r="V10" s="13"/>
    </row>
    <row r="11" spans="2:22">
      <c r="B11" t="s">
        <v>3</v>
      </c>
      <c r="C11" s="228">
        <f>IF(B11="","",IF(LEN(B11)&gt;9,SUMIFS(Options!$H$3:$H$32,Options!$B$3:$B$32,Check!B11),SUMIFS('Master P&amp;L'!$H$11:$H$106,'Master P&amp;L'!$B$11:$B$106,Check!B11)))</f>
        <v>0</v>
      </c>
      <c r="D11" s="228">
        <f>IF(B11="","",SUMIFS(Input_APM!N:N,Input_APM!L:L,Check!B11,Input_APM!M:M,Check!$F$1))</f>
        <v>0</v>
      </c>
      <c r="E11" s="212">
        <f t="shared" si="5"/>
        <v>0</v>
      </c>
      <c r="F11" s="228">
        <f>IF(B11="","",SUMIFS(Input_APM!N:N,Input_APM!M:M,Check!$F$1,Input_APM!L:L,Check!B11))</f>
        <v>0</v>
      </c>
      <c r="G11" s="228">
        <f>IF(B11="","",SUMIFS(Input_APM!N:N,Input_APM!M:M,Check!$G$1,Input_APM!L:L,Check!B11))</f>
        <v>0</v>
      </c>
      <c r="H11" s="212">
        <f t="shared" si="0"/>
        <v>0</v>
      </c>
      <c r="I11" s="212">
        <f>SUMIFS(Input_APM!N:N,Input_APM!L:L,Check!B11)</f>
        <v>0</v>
      </c>
      <c r="J11" s="214">
        <f t="shared" si="3"/>
        <v>0</v>
      </c>
      <c r="K11" s="21">
        <f>IF(B11="","",SUMIFS('Input_APM (Zenith)'!N:N,'Input_APM (Zenith)'!L:L,Check!B11,'Input_APM (Zenith)'!M:M,Check!$F$1))</f>
        <v>0</v>
      </c>
      <c r="L11" s="21">
        <f>IF(B11="","",SUMIFS('Input_APM (Zenith)'!N:N,'Input_APM (Zenith)'!L:L,Check!B11,'Input_APM (Zenith)'!M:M,Check!$G$1))</f>
        <v>0</v>
      </c>
      <c r="M11" s="234">
        <f t="shared" si="4"/>
        <v>0</v>
      </c>
      <c r="O11" t="s">
        <v>2224</v>
      </c>
      <c r="P11" s="212">
        <f>IF(O11="","",IF(OR(LEFT(O11,4)="Cash",LEFT(O11,4)="Prov"),0,SUMIFS(Input_APM!N:N,Input_APM!L:L,Check!O11)))</f>
        <v>935</v>
      </c>
      <c r="Q11" s="21">
        <f>IF(O11="","",IF(LEN(O11)&gt;9,SUMIFS(Options!$H$3:$H$32,Options!$B$3:$B$32,Check!O11),SUMIFS('Master P&amp;L'!$H$11:$H$106,'Master P&amp;L'!$B$11:$B$106,Check!O11)))</f>
        <v>1000</v>
      </c>
      <c r="R11" s="212">
        <f t="shared" si="1"/>
        <v>-65</v>
      </c>
      <c r="S11" s="355">
        <f t="shared" si="2"/>
        <v>0.93500000000000005</v>
      </c>
      <c r="V11" s="13"/>
    </row>
    <row r="12" spans="2:22">
      <c r="B12" t="s">
        <v>131</v>
      </c>
      <c r="C12" s="228">
        <f>IF(B12="","",IF(LEN(B12)&gt;9,SUMIFS(Options!$H$3:$H$32,Options!$B$3:$B$32,Check!B12),SUMIFS('Master P&amp;L'!$H$11:$H$106,'Master P&amp;L'!$B$11:$B$106,Check!B12)))</f>
        <v>0</v>
      </c>
      <c r="D12" s="228">
        <f>IF(B12="","",SUMIFS(Input_APM!N:N,Input_APM!L:L,Check!B12,Input_APM!M:M,Check!$F$1))</f>
        <v>0</v>
      </c>
      <c r="E12" s="212">
        <f t="shared" si="5"/>
        <v>0</v>
      </c>
      <c r="F12" s="228">
        <f>IF(B12="","",SUMIFS(Input_APM!N:N,Input_APM!M:M,Check!$F$1,Input_APM!L:L,Check!B12))</f>
        <v>0</v>
      </c>
      <c r="G12" s="228">
        <f>IF(B12="","",SUMIFS(Input_APM!N:N,Input_APM!M:M,Check!$G$1,Input_APM!L:L,Check!B12))</f>
        <v>0</v>
      </c>
      <c r="H12" s="212">
        <f t="shared" si="0"/>
        <v>0</v>
      </c>
      <c r="I12" s="212">
        <f>SUMIFS(Input_APM!N:N,Input_APM!L:L,Check!B12)</f>
        <v>0</v>
      </c>
      <c r="J12" s="214">
        <f t="shared" si="3"/>
        <v>0</v>
      </c>
      <c r="K12" s="21">
        <f>IF(B12="","",SUMIFS('Input_APM (Zenith)'!N:N,'Input_APM (Zenith)'!L:L,Check!B12,'Input_APM (Zenith)'!M:M,Check!$F$1))</f>
        <v>0</v>
      </c>
      <c r="L12" s="21">
        <f>IF(B12="","",SUMIFS('Input_APM (Zenith)'!N:N,'Input_APM (Zenith)'!L:L,Check!B12,'Input_APM (Zenith)'!M:M,Check!$G$1))</f>
        <v>0</v>
      </c>
      <c r="M12" s="234">
        <f t="shared" si="4"/>
        <v>0</v>
      </c>
      <c r="O12" t="s">
        <v>137</v>
      </c>
      <c r="P12" s="212">
        <f>IF(O12="","",IF(OR(LEFT(O12,4)="Cash",LEFT(O12,4)="Prov"),0,SUMIFS(Input_APM!N:N,Input_APM!L:L,Check!O12)))</f>
        <v>0</v>
      </c>
      <c r="Q12" s="21">
        <f>IF(O12="","",IF(LEN(O12)&gt;9,SUMIFS(Options!$H$3:$H$32,Options!$B$3:$B$32,Check!O12),SUMIFS('Master P&amp;L'!$H$11:$H$106,'Master P&amp;L'!$B$11:$B$106,Check!O12)))</f>
        <v>0</v>
      </c>
      <c r="R12" s="212">
        <f t="shared" si="1"/>
        <v>0</v>
      </c>
      <c r="S12" s="355" t="str">
        <f t="shared" si="2"/>
        <v>Ok</v>
      </c>
      <c r="V12" s="13"/>
    </row>
    <row r="13" spans="2:22">
      <c r="B13" t="s">
        <v>2145</v>
      </c>
      <c r="C13" s="228">
        <f>IF(B13="","",IF(LEN(B13)&gt;9,SUMIFS(Options!$H$3:$H$32,Options!$B$3:$B$32,Check!B13),SUMIFS('Master P&amp;L'!$H$11:$H$106,'Master P&amp;L'!$B$11:$B$106,Check!B13)))</f>
        <v>14500</v>
      </c>
      <c r="D13" s="228">
        <f>IF(B13="","",SUMIFS(Input_APM!N:N,Input_APM!L:L,Check!B13,Input_APM!M:M,Check!$F$1))</f>
        <v>13594</v>
      </c>
      <c r="E13" s="214">
        <f t="shared" si="5"/>
        <v>0</v>
      </c>
      <c r="F13" s="228">
        <f>IF(B13="","",SUMIFS(Input_APM!N:N,Input_APM!M:M,Check!$F$1,Input_APM!L:L,Check!B13))</f>
        <v>13594</v>
      </c>
      <c r="G13" s="228">
        <f>IF(B13="","",SUMIFS(Input_APM!N:N,Input_APM!M:M,Check!$G$1,Input_APM!L:L,Check!B13))</f>
        <v>0</v>
      </c>
      <c r="H13" s="212">
        <f t="shared" si="0"/>
        <v>13594</v>
      </c>
      <c r="I13" s="212">
        <f>SUMIFS(Input_APM!N:N,Input_APM!L:L,Check!B13)</f>
        <v>13594</v>
      </c>
      <c r="J13" s="214">
        <f t="shared" si="3"/>
        <v>0</v>
      </c>
      <c r="K13" s="21">
        <f>IF(B13="","",SUMIFS('Input_APM (Zenith)'!N:N,'Input_APM (Zenith)'!L:L,Check!B13,'Input_APM (Zenith)'!M:M,Check!$F$1))</f>
        <v>906</v>
      </c>
      <c r="L13" s="21">
        <f>IF(B13="","",SUMIFS('Input_APM (Zenith)'!N:N,'Input_APM (Zenith)'!L:L,Check!B13,'Input_APM (Zenith)'!M:M,Check!$G$1))</f>
        <v>0</v>
      </c>
      <c r="M13" s="234">
        <f t="shared" si="4"/>
        <v>14500</v>
      </c>
      <c r="O13" t="s">
        <v>2102</v>
      </c>
      <c r="P13" s="212">
        <f>IF(O13="","",IF(OR(LEFT(O13,4)="Cash",LEFT(O13,4)="Prov"),0,SUMIFS(Input_APM!N:N,Input_APM!L:L,Check!O13)))</f>
        <v>114</v>
      </c>
      <c r="Q13" s="21">
        <f>IF(O13="","",IF(LEN(O13)&gt;9,SUMIFS(Options!$H$3:$H$32,Options!$B$3:$B$32,Check!O13),SUMIFS('Master P&amp;L'!$H$11:$H$106,'Master P&amp;L'!$B$11:$B$106,Check!O13)))</f>
        <v>120</v>
      </c>
      <c r="R13" s="212">
        <f t="shared" si="1"/>
        <v>-6</v>
      </c>
      <c r="S13" s="355">
        <f t="shared" si="2"/>
        <v>0.95</v>
      </c>
      <c r="V13" s="13"/>
    </row>
    <row r="14" spans="2:22">
      <c r="B14" t="s">
        <v>79</v>
      </c>
      <c r="C14" s="228">
        <f>IF(B14="","",IF(LEN(B14)&gt;9,SUMIFS(Options!$H$3:$H$32,Options!$B$3:$B$32,Check!B14),SUMIFS('Master P&amp;L'!$H$11:$H$106,'Master P&amp;L'!$B$11:$B$106,Check!B14)))</f>
        <v>8500</v>
      </c>
      <c r="D14" s="228">
        <f>IF(B14="","",SUMIFS(Input_APM!N:N,Input_APM!L:L,Check!B14,Input_APM!M:M,Check!$F$1))</f>
        <v>2816</v>
      </c>
      <c r="E14" s="212">
        <f t="shared" si="5"/>
        <v>5500</v>
      </c>
      <c r="F14" s="228">
        <f>IF(B14="","",SUMIFS(Input_APM!N:N,Input_APM!M:M,Check!$F$1,Input_APM!L:L,Check!B14))</f>
        <v>2816</v>
      </c>
      <c r="G14" s="228">
        <f>IF(B14="","",SUMIFS(Input_APM!N:N,Input_APM!M:M,Check!$G$1,Input_APM!L:L,Check!B14))</f>
        <v>0</v>
      </c>
      <c r="H14" s="212">
        <f t="shared" si="0"/>
        <v>2816</v>
      </c>
      <c r="I14" s="212">
        <f>SUMIFS(Input_APM!N:N,Input_APM!L:L,Check!B14)</f>
        <v>2816</v>
      </c>
      <c r="J14" s="214">
        <f t="shared" si="3"/>
        <v>0</v>
      </c>
      <c r="K14" s="21">
        <f>IF(B14="","",SUMIFS('Input_APM (Zenith)'!N:N,'Input_APM (Zenith)'!L:L,Check!B14,'Input_APM (Zenith)'!M:M,Check!$F$1))</f>
        <v>184</v>
      </c>
      <c r="L14" s="21">
        <f>IF(B14="","",SUMIFS('Input_APM (Zenith)'!N:N,'Input_APM (Zenith)'!L:L,Check!B14,'Input_APM (Zenith)'!M:M,Check!$G$1))</f>
        <v>0</v>
      </c>
      <c r="M14" s="234">
        <f t="shared" si="4"/>
        <v>3000</v>
      </c>
      <c r="O14" t="s">
        <v>461</v>
      </c>
      <c r="P14" s="212">
        <f>IF(O14="","",IF(OR(LEFT(O14,4)="Cash",LEFT(O14,4)="Prov"),0,SUMIFS(Input_APM!N:N,Input_APM!L:L,Check!O14)))</f>
        <v>3163</v>
      </c>
      <c r="Q14" s="21">
        <f>IF(O14="","",IF(LEN(O14)&gt;9,SUMIFS(Options!$H$3:$H$32,Options!$B$3:$B$32,Check!O14),SUMIFS('Master P&amp;L'!$H$11:$H$106,'Master P&amp;L'!$B$11:$B$106,Check!O14)))</f>
        <v>3378</v>
      </c>
      <c r="R14" s="212">
        <f t="shared" si="1"/>
        <v>-215</v>
      </c>
      <c r="S14" s="355">
        <f t="shared" si="2"/>
        <v>0.9363528715216104</v>
      </c>
      <c r="V14" s="13"/>
    </row>
    <row r="15" spans="2:22">
      <c r="B15" t="s">
        <v>399</v>
      </c>
      <c r="C15" s="228">
        <f>IF(B15="","",IF(LEN(B15)&gt;9,SUMIFS(Options!$H$3:$H$32,Options!$B$3:$B$32,Check!B15),SUMIFS('Master P&amp;L'!$H$11:$H$106,'Master P&amp;L'!$B$11:$B$106,Check!B15)))</f>
        <v>14700</v>
      </c>
      <c r="D15" s="228">
        <f>IF(B15="","",SUMIFS(Input_APM!N:N,Input_APM!L:L,Check!B15,Input_APM!M:M,Check!$F$1))</f>
        <v>13772</v>
      </c>
      <c r="E15" s="214">
        <f t="shared" si="5"/>
        <v>0</v>
      </c>
      <c r="F15" s="228">
        <f>IF(B15="","",SUMIFS(Input_APM!N:N,Input_APM!M:M,Check!$F$1,Input_APM!L:L,Check!B15))</f>
        <v>13772</v>
      </c>
      <c r="G15" s="228">
        <f>IF(B15="","",SUMIFS(Input_APM!N:N,Input_APM!M:M,Check!$G$1,Input_APM!L:L,Check!B15))</f>
        <v>0</v>
      </c>
      <c r="H15" s="212">
        <f t="shared" si="0"/>
        <v>13772</v>
      </c>
      <c r="I15" s="212">
        <f>SUMIFS(Input_APM!N:N,Input_APM!L:L,Check!B15)</f>
        <v>13772</v>
      </c>
      <c r="J15" s="214">
        <f t="shared" si="3"/>
        <v>0</v>
      </c>
      <c r="K15" s="21">
        <f>IF(B15="","",SUMIFS('Input_APM (Zenith)'!N:N,'Input_APM (Zenith)'!L:L,Check!B15,'Input_APM (Zenith)'!M:M,Check!$F$1))</f>
        <v>928</v>
      </c>
      <c r="L15" s="21">
        <f>IF(B15="","",SUMIFS('Input_APM (Zenith)'!N:N,'Input_APM (Zenith)'!L:L,Check!B15,'Input_APM (Zenith)'!M:M,Check!$G$1))</f>
        <v>0</v>
      </c>
      <c r="M15" s="234">
        <f t="shared" si="4"/>
        <v>14700</v>
      </c>
      <c r="O15" t="s">
        <v>2138</v>
      </c>
      <c r="P15" s="212">
        <f>IF(O15="","",IF(OR(LEFT(O15,4)="Cash",LEFT(O15,4)="Prov"),0,SUMIFS(Input_APM!N:N,Input_APM!L:L,Check!O15)))</f>
        <v>3285</v>
      </c>
      <c r="Q15" s="21">
        <f>IF(O15="","",IF(LEN(O15)&gt;9,SUMIFS(Options!$H$3:$H$32,Options!$B$3:$B$32,Check!O15),SUMIFS('Master P&amp;L'!$H$11:$H$106,'Master P&amp;L'!$B$11:$B$106,Check!O15)))</f>
        <v>3510</v>
      </c>
      <c r="R15" s="212">
        <f t="shared" si="1"/>
        <v>-225</v>
      </c>
      <c r="S15" s="355">
        <f t="shared" si="2"/>
        <v>0.9358974358974359</v>
      </c>
      <c r="V15" s="13"/>
    </row>
    <row r="16" spans="2:22">
      <c r="B16" t="s">
        <v>81</v>
      </c>
      <c r="C16" s="228">
        <f>IF(B16="","",IF(LEN(B16)&gt;9,SUMIFS(Options!$H$3:$H$32,Options!$B$3:$B$32,Check!B16),SUMIFS('Master P&amp;L'!$H$11:$H$106,'Master P&amp;L'!$B$11:$B$106,Check!B16)))</f>
        <v>4450</v>
      </c>
      <c r="D16" s="228">
        <f>IF(B16="","",SUMIFS(Input_APM!N:N,Input_APM!L:L,Check!B16,Input_APM!M:M,Check!$F$1))</f>
        <v>5403</v>
      </c>
      <c r="E16" s="212">
        <f t="shared" si="5"/>
        <v>-1300</v>
      </c>
      <c r="F16" s="228">
        <f>IF(B16="","",SUMIFS(Input_APM!N:N,Input_APM!M:M,Check!$F$1,Input_APM!L:L,Check!B16))</f>
        <v>5403</v>
      </c>
      <c r="G16" s="228">
        <f>IF(B16="","",SUMIFS(Input_APM!N:N,Input_APM!M:M,Check!$G$1,Input_APM!L:L,Check!B16))</f>
        <v>0</v>
      </c>
      <c r="H16" s="212">
        <f t="shared" si="0"/>
        <v>5403</v>
      </c>
      <c r="I16" s="212">
        <f>SUMIFS(Input_APM!N:N,Input_APM!L:L,Check!B16)</f>
        <v>5403</v>
      </c>
      <c r="J16" s="214">
        <f t="shared" si="3"/>
        <v>0</v>
      </c>
      <c r="K16" s="21">
        <f>IF(B16="","",SUMIFS('Input_APM (Zenith)'!N:N,'Input_APM (Zenith)'!L:L,Check!B16,'Input_APM (Zenith)'!M:M,Check!$F$1))</f>
        <v>347</v>
      </c>
      <c r="L16" s="21">
        <f>IF(B16="","",SUMIFS('Input_APM (Zenith)'!N:N,'Input_APM (Zenith)'!L:L,Check!B16,'Input_APM (Zenith)'!M:M,Check!$G$1))</f>
        <v>0</v>
      </c>
      <c r="M16" s="234">
        <f t="shared" si="4"/>
        <v>5750</v>
      </c>
      <c r="O16" t="s">
        <v>295</v>
      </c>
      <c r="P16" s="212">
        <f>IF(O16="","",IF(OR(LEFT(O16,4)="Cash",LEFT(O16,4)="Prov"),0,SUMIFS(Input_APM!N:N,Input_APM!L:L,Check!O16)))</f>
        <v>0</v>
      </c>
      <c r="Q16" s="21">
        <f>IF(O16="","",IF(LEN(O16)&gt;9,SUMIFS(Options!$H$3:$H$32,Options!$B$3:$B$32,Check!O16),SUMIFS('Master P&amp;L'!$H$11:$H$106,'Master P&amp;L'!$B$11:$B$106,Check!O16)))</f>
        <v>0</v>
      </c>
      <c r="R16" s="212">
        <f t="shared" si="1"/>
        <v>0</v>
      </c>
      <c r="S16" s="355" t="str">
        <f t="shared" si="2"/>
        <v>Ok</v>
      </c>
      <c r="V16" s="13"/>
    </row>
    <row r="17" spans="2:22">
      <c r="B17" t="s">
        <v>90</v>
      </c>
      <c r="C17" s="228">
        <f>IF(B17="","",IF(LEN(B17)&gt;9,SUMIFS(Options!$H$3:$H$32,Options!$B$3:$B$32,Check!B17),SUMIFS('Master P&amp;L'!$H$11:$H$106,'Master P&amp;L'!$B$11:$B$106,Check!B17)))</f>
        <v>1880</v>
      </c>
      <c r="D17" s="228">
        <f>IF(B17="","",SUMIFS(Input_APM!N:N,Input_APM!L:L,Check!B17,Input_APM!M:M,Check!$F$1))</f>
        <v>3910</v>
      </c>
      <c r="E17" s="214">
        <f t="shared" si="5"/>
        <v>-2300</v>
      </c>
      <c r="F17" s="228">
        <f>IF(B17="","",SUMIFS(Input_APM!N:N,Input_APM!M:M,Check!$F$1,Input_APM!L:L,Check!B17))</f>
        <v>3910</v>
      </c>
      <c r="G17" s="228">
        <f>IF(B17="","",SUMIFS(Input_APM!N:N,Input_APM!M:M,Check!$G$1,Input_APM!L:L,Check!B17))</f>
        <v>0</v>
      </c>
      <c r="H17" s="212">
        <f t="shared" si="0"/>
        <v>3910</v>
      </c>
      <c r="I17" s="212">
        <f>SUMIFS(Input_APM!N:N,Input_APM!L:L,Check!B17)</f>
        <v>3910</v>
      </c>
      <c r="J17" s="214">
        <f t="shared" si="3"/>
        <v>0</v>
      </c>
      <c r="K17" s="21">
        <f>IF(B17="","",SUMIFS('Input_APM (Zenith)'!N:N,'Input_APM (Zenith)'!L:L,Check!B17,'Input_APM (Zenith)'!M:M,Check!$F$1))</f>
        <v>270</v>
      </c>
      <c r="L17" s="21">
        <f>IF(B17="","",SUMIFS('Input_APM (Zenith)'!N:N,'Input_APM (Zenith)'!L:L,Check!B17,'Input_APM (Zenith)'!M:M,Check!$G$1))</f>
        <v>0</v>
      </c>
      <c r="M17" s="234">
        <f t="shared" si="4"/>
        <v>4180</v>
      </c>
      <c r="O17" t="s">
        <v>296</v>
      </c>
      <c r="P17" s="212">
        <f>IF(O17="","",IF(OR(LEFT(O17,4)="Cash",LEFT(O17,4)="Prov"),0,SUMIFS(Input_APM!N:N,Input_APM!L:L,Check!O17)))</f>
        <v>0</v>
      </c>
      <c r="Q17" s="21">
        <f>IF(O17="","",IF(LEN(O17)&gt;9,SUMIFS(Options!$H$3:$H$32,Options!$B$3:$B$32,Check!O17),SUMIFS('Master P&amp;L'!$H$11:$H$106,'Master P&amp;L'!$B$11:$B$106,Check!O17)))</f>
        <v>0</v>
      </c>
      <c r="R17" s="212">
        <f t="shared" si="1"/>
        <v>0</v>
      </c>
      <c r="S17" s="355" t="str">
        <f t="shared" si="2"/>
        <v>Ok</v>
      </c>
      <c r="V17" s="13"/>
    </row>
    <row r="18" spans="2:22">
      <c r="B18" t="s">
        <v>89</v>
      </c>
      <c r="C18" s="228">
        <f>IF(B18="","",IF(LEN(B18)&gt;9,SUMIFS(Options!$H$3:$H$32,Options!$B$3:$B$32,Check!B18),SUMIFS('Master P&amp;L'!$H$11:$H$106,'Master P&amp;L'!$B$11:$B$106,Check!B18)))</f>
        <v>-20000</v>
      </c>
      <c r="D18" s="228">
        <f>IF(B18="","",SUMIFS(Input_APM!N:N,Input_APM!L:L,Check!B18,Input_APM!M:M,Check!$F$1))</f>
        <v>-7054</v>
      </c>
      <c r="E18" s="214">
        <f t="shared" si="5"/>
        <v>-12500</v>
      </c>
      <c r="F18" s="228">
        <f>IF(B18="","",SUMIFS(Input_APM!N:N,Input_APM!M:M,Check!$F$1,Input_APM!L:L,Check!B18))</f>
        <v>-7054</v>
      </c>
      <c r="G18" s="228">
        <f>IF(B18="","",SUMIFS(Input_APM!N:N,Input_APM!M:M,Check!$G$1,Input_APM!L:L,Check!B18))</f>
        <v>0</v>
      </c>
      <c r="H18" s="212">
        <f t="shared" si="0"/>
        <v>-7054</v>
      </c>
      <c r="I18" s="212">
        <f>SUMIFS(Input_APM!N:N,Input_APM!L:L,Check!B18)</f>
        <v>-7054</v>
      </c>
      <c r="J18" s="214">
        <f t="shared" si="3"/>
        <v>0</v>
      </c>
      <c r="K18" s="21">
        <f>IF(B18="","",SUMIFS('Input_APM (Zenith)'!N:N,'Input_APM (Zenith)'!L:L,Check!B18,'Input_APM (Zenith)'!M:M,Check!$F$1))</f>
        <v>-446</v>
      </c>
      <c r="L18" s="21">
        <f>IF(B18="","",SUMIFS('Input_APM (Zenith)'!N:N,'Input_APM (Zenith)'!L:L,Check!B18,'Input_APM (Zenith)'!M:M,Check!$G$1))</f>
        <v>0</v>
      </c>
      <c r="M18" s="234">
        <f t="shared" si="4"/>
        <v>-7500</v>
      </c>
      <c r="O18" t="s">
        <v>297</v>
      </c>
      <c r="P18" s="212">
        <f>IF(O18="","",IF(OR(LEFT(O18,4)="Cash",LEFT(O18,4)="Prov"),0,SUMIFS(Input_APM!N:N,Input_APM!L:L,Check!O18)))</f>
        <v>0</v>
      </c>
      <c r="Q18" s="21">
        <f>IF(O18="","",IF(LEN(O18)&gt;9,SUMIFS(Options!$H$3:$H$32,Options!$B$3:$B$32,Check!O18),SUMIFS('Master P&amp;L'!$H$11:$H$106,'Master P&amp;L'!$B$11:$B$106,Check!O18)))</f>
        <v>0</v>
      </c>
      <c r="R18" s="212">
        <f t="shared" si="1"/>
        <v>0</v>
      </c>
      <c r="S18" s="355" t="str">
        <f t="shared" si="2"/>
        <v>Ok</v>
      </c>
      <c r="V18" s="13"/>
    </row>
    <row r="19" spans="2:22">
      <c r="B19" t="s">
        <v>2268</v>
      </c>
      <c r="C19" s="228">
        <f>IF(B19="","",IF(LEN(B19)&gt;9,SUMIFS(Options!$H$3:$H$32,Options!$B$3:$B$32,Check!B19),SUMIFS('Master P&amp;L'!$H$11:$H$106,'Master P&amp;L'!$B$11:$B$106,Check!B19)))</f>
        <v>1393</v>
      </c>
      <c r="D19" s="228">
        <f>IF(B19="","",SUMIFS(Input_APM!N:N,Input_APM!L:L,Check!B19,Input_APM!M:M,Check!$F$1))</f>
        <v>0</v>
      </c>
      <c r="E19" s="214">
        <f t="shared" si="5"/>
        <v>1393</v>
      </c>
      <c r="F19" s="228">
        <f>IF(B19="","",SUMIFS(Input_APM!N:N,Input_APM!M:M,Check!$F$1,Input_APM!L:L,Check!B19))</f>
        <v>0</v>
      </c>
      <c r="G19" s="228">
        <f>IF(B19="","",SUMIFS(Input_APM!N:N,Input_APM!M:M,Check!$G$1,Input_APM!L:L,Check!B19))</f>
        <v>0</v>
      </c>
      <c r="H19" s="212">
        <f t="shared" si="0"/>
        <v>0</v>
      </c>
      <c r="I19" s="212">
        <f>SUMIFS(Input_APM!N:N,Input_APM!L:L,Check!B19)</f>
        <v>0</v>
      </c>
      <c r="J19" s="214">
        <f t="shared" si="3"/>
        <v>0</v>
      </c>
      <c r="K19" s="21">
        <f>IF(B19="","",SUMIFS('Input_APM (Zenith)'!N:N,'Input_APM (Zenith)'!L:L,Check!B19,'Input_APM (Zenith)'!M:M,Check!$F$1))</f>
        <v>0</v>
      </c>
      <c r="L19" s="21">
        <f>IF(B19="","",SUMIFS('Input_APM (Zenith)'!N:N,'Input_APM (Zenith)'!L:L,Check!B19,'Input_APM (Zenith)'!M:M,Check!$G$1))</f>
        <v>0</v>
      </c>
      <c r="M19" s="234">
        <f t="shared" si="4"/>
        <v>0</v>
      </c>
      <c r="O19" t="s">
        <v>2123</v>
      </c>
      <c r="P19" s="212">
        <f>IF(O19="","",IF(OR(LEFT(O19,4)="Cash",LEFT(O19,4)="Prov"),0,SUMIFS(Input_APM!N:N,Input_APM!L:L,Check!O19)))</f>
        <v>0</v>
      </c>
      <c r="Q19" s="21">
        <f>IF(O19="","",IF(LEN(O19)&gt;9,SUMIFS(Options!$H$3:$H$32,Options!$B$3:$B$32,Check!O19),SUMIFS('Master P&amp;L'!$H$11:$H$106,'Master P&amp;L'!$B$11:$B$106,Check!O19)))</f>
        <v>0</v>
      </c>
      <c r="R19" s="212">
        <f t="shared" si="1"/>
        <v>0</v>
      </c>
      <c r="S19" s="355" t="str">
        <f t="shared" si="2"/>
        <v>Ok</v>
      </c>
      <c r="V19" s="13"/>
    </row>
    <row r="20" spans="2:22">
      <c r="B20" t="s">
        <v>1855</v>
      </c>
      <c r="C20" s="228">
        <f>IF(B20="","",IF(LEN(B20)&gt;9,SUMIFS(Options!$H$3:$H$32,Options!$B$3:$B$32,Check!B20),SUMIFS('Master P&amp;L'!$H$11:$H$106,'Master P&amp;L'!$B$11:$B$106,Check!B20)))</f>
        <v>0</v>
      </c>
      <c r="D20" s="228">
        <f>IF(B20="","",SUMIFS(Input_APM!N:N,Input_APM!L:L,Check!B20,Input_APM!M:M,Check!$F$1))</f>
        <v>0</v>
      </c>
      <c r="E20" s="214">
        <f>IF(B20="","",C20-M20)</f>
        <v>0</v>
      </c>
      <c r="F20" s="228">
        <f>IF(B20="","",SUMIFS(Input_APM!N:N,Input_APM!M:M,Check!$F$1,Input_APM!L:L,Check!B20))</f>
        <v>0</v>
      </c>
      <c r="G20" s="228">
        <f>IF(B20="","",SUMIFS(Input_APM!N:N,Input_APM!M:M,Check!$G$1,Input_APM!L:L,Check!B20))</f>
        <v>0</v>
      </c>
      <c r="H20" s="212">
        <f t="shared" si="0"/>
        <v>0</v>
      </c>
      <c r="I20" s="212">
        <f>SUMIFS(Input_APM!N:N,Input_APM!L:L,Check!B20)</f>
        <v>0</v>
      </c>
      <c r="J20" s="214">
        <f t="shared" si="3"/>
        <v>0</v>
      </c>
      <c r="K20" s="21">
        <f>IF(B20="","",SUMIFS('Input_APM (Zenith)'!N:N,'Input_APM (Zenith)'!L:L,Check!B20,'Input_APM (Zenith)'!M:M,Check!$F$1))</f>
        <v>0</v>
      </c>
      <c r="L20" s="21">
        <f>IF(B20="","",SUMIFS('Input_APM (Zenith)'!N:N,'Input_APM (Zenith)'!L:L,Check!B20,'Input_APM (Zenith)'!M:M,Check!$G$1))</f>
        <v>0</v>
      </c>
      <c r="M20" s="234">
        <f t="shared" si="4"/>
        <v>0</v>
      </c>
      <c r="O20" t="s">
        <v>298</v>
      </c>
      <c r="P20" s="212">
        <f>IF(O20="","",IF(OR(LEFT(O20,4)="Cash",LEFT(O20,4)="Prov"),0,SUMIFS(Input_APM!N:N,Input_APM!L:L,Check!O20)))</f>
        <v>0</v>
      </c>
      <c r="Q20" s="21">
        <f>IF(O20="","",IF(LEN(O20)&gt;9,SUMIFS(Options!$H$3:$H$32,Options!$B$3:$B$32,Check!O20),SUMIFS('Master P&amp;L'!$H$11:$H$106,'Master P&amp;L'!$B$11:$B$106,Check!O20)))</f>
        <v>0</v>
      </c>
      <c r="R20" s="212">
        <f t="shared" si="1"/>
        <v>0</v>
      </c>
      <c r="S20" s="355" t="str">
        <f t="shared" si="2"/>
        <v>Ok</v>
      </c>
      <c r="V20" s="13"/>
    </row>
    <row r="21" spans="2:22">
      <c r="B21" t="s">
        <v>2441</v>
      </c>
      <c r="C21" s="228">
        <f>IF(B21="","",IF(LEN(B21)&gt;9,SUMIFS(Options!$H$3:$H$32,Options!$B$3:$B$32,Check!B21),SUMIFS('Master P&amp;L'!$H$11:$H$106,'Master P&amp;L'!$B$11:$B$106,Check!B21)))</f>
        <v>0</v>
      </c>
      <c r="D21" s="228">
        <f>IF(B21="","",SUMIFS(Input_APM!N:N,Input_APM!L:L,Check!B21,Input_APM!M:M,Check!$F$1))</f>
        <v>0</v>
      </c>
      <c r="E21" s="212">
        <f t="shared" si="5"/>
        <v>0</v>
      </c>
      <c r="F21" s="228">
        <f>IF(B21="","",SUMIFS(Input_APM!N:N,Input_APM!M:M,Check!$F$1,Input_APM!L:L,Check!B21))</f>
        <v>0</v>
      </c>
      <c r="G21" s="228">
        <f>IF(B21="","",SUMIFS(Input_APM!N:N,Input_APM!M:M,Check!$G$1,Input_APM!L:L,Check!B21))</f>
        <v>0</v>
      </c>
      <c r="H21" s="212">
        <f t="shared" si="0"/>
        <v>0</v>
      </c>
      <c r="I21" s="212">
        <f>SUMIFS(Input_APM!N:N,Input_APM!L:L,Check!B21)</f>
        <v>0</v>
      </c>
      <c r="J21" s="214">
        <f t="shared" si="3"/>
        <v>0</v>
      </c>
      <c r="K21" s="21">
        <f>IF(B21="","",SUMIFS('Input_APM (Zenith)'!N:N,'Input_APM (Zenith)'!L:L,Check!B21,'Input_APM (Zenith)'!M:M,Check!$F$1))</f>
        <v>0</v>
      </c>
      <c r="L21" s="21">
        <f>IF(B21="","",SUMIFS('Input_APM (Zenith)'!N:N,'Input_APM (Zenith)'!L:L,Check!B21,'Input_APM (Zenith)'!M:M,Check!$G$1))</f>
        <v>0</v>
      </c>
      <c r="M21" s="234">
        <f t="shared" si="4"/>
        <v>0</v>
      </c>
      <c r="O21" t="s">
        <v>299</v>
      </c>
      <c r="P21" s="212">
        <f>IF(O21="","",IF(OR(LEFT(O21,4)="Cash",LEFT(O21,4)="Prov"),0,SUMIFS(Input_APM!N:N,Input_APM!L:L,Check!O21)))</f>
        <v>0</v>
      </c>
      <c r="Q21" s="21">
        <f>IF(O21="","",IF(LEN(O21)&gt;9,SUMIFS(Options!$H$3:$H$32,Options!$B$3:$B$32,Check!O21),SUMIFS('Master P&amp;L'!$H$11:$H$106,'Master P&amp;L'!$B$11:$B$106,Check!O21)))</f>
        <v>0</v>
      </c>
      <c r="R21" s="212">
        <f t="shared" si="1"/>
        <v>0</v>
      </c>
      <c r="S21" s="355" t="str">
        <f t="shared" si="2"/>
        <v>Ok</v>
      </c>
      <c r="V21" s="13"/>
    </row>
    <row r="22" spans="2:22">
      <c r="B22" t="s">
        <v>1754</v>
      </c>
      <c r="C22" s="228">
        <f>IF(B22="","",IF(LEN(B22)&gt;9,SUMIFS(Options!$H$3:$H$32,Options!$B$3:$B$32,Check!B22),SUMIFS('Master P&amp;L'!$H$11:$H$106,'Master P&amp;L'!$B$11:$B$106,Check!B22)))</f>
        <v>38300</v>
      </c>
      <c r="D22" s="228">
        <f>IF(B22="","",SUMIFS(Input_APM!N:N,Input_APM!L:L,Check!B22,Input_APM!M:M,Check!$F$1))</f>
        <v>60248</v>
      </c>
      <c r="E22" s="212">
        <f t="shared" si="5"/>
        <v>-26000</v>
      </c>
      <c r="F22" s="228">
        <f>IF(B22="","",SUMIFS(Input_APM!N:N,Input_APM!M:M,Check!$F$1,Input_APM!L:L,Check!B22))</f>
        <v>60248</v>
      </c>
      <c r="G22" s="228">
        <f>IF(B22="","",SUMIFS(Input_APM!N:N,Input_APM!M:M,Check!$G$1,Input_APM!L:L,Check!B22))</f>
        <v>0</v>
      </c>
      <c r="H22" s="212">
        <f t="shared" si="0"/>
        <v>60248</v>
      </c>
      <c r="I22" s="212">
        <f>SUMIFS(Input_APM!N:N,Input_APM!L:L,Check!B22)</f>
        <v>60248</v>
      </c>
      <c r="J22" s="214">
        <f t="shared" si="3"/>
        <v>0</v>
      </c>
      <c r="K22" s="21">
        <f>IF(B22="","",SUMIFS('Input_APM (Zenith)'!N:N,'Input_APM (Zenith)'!L:L,Check!B22,'Input_APM (Zenith)'!M:M,Check!$F$1))</f>
        <v>4052</v>
      </c>
      <c r="L22" s="21">
        <f>IF(B22="","",SUMIFS('Input_APM (Zenith)'!N:N,'Input_APM (Zenith)'!L:L,Check!B22,'Input_APM (Zenith)'!M:M,Check!$G$1))</f>
        <v>0</v>
      </c>
      <c r="M22" s="234">
        <f t="shared" si="4"/>
        <v>64300</v>
      </c>
      <c r="O22" t="s">
        <v>300</v>
      </c>
      <c r="P22" s="212">
        <f>IF(O22="","",IF(OR(LEFT(O22,4)="Cash",LEFT(O22,4)="Prov"),0,SUMIFS(Input_APM!N:N,Input_APM!L:L,Check!O22)))</f>
        <v>0</v>
      </c>
      <c r="Q22" s="21">
        <f>IF(O22="","",IF(LEN(O22)&gt;9,SUMIFS(Options!$H$3:$H$32,Options!$B$3:$B$32,Check!O22),SUMIFS('Master P&amp;L'!$H$11:$H$106,'Master P&amp;L'!$B$11:$B$106,Check!O22)))</f>
        <v>0</v>
      </c>
      <c r="R22" s="212">
        <f t="shared" si="1"/>
        <v>0</v>
      </c>
      <c r="S22" s="355" t="str">
        <f t="shared" si="2"/>
        <v>Ok</v>
      </c>
      <c r="V22" s="13"/>
    </row>
    <row r="23" spans="2:22">
      <c r="B23" t="s">
        <v>2063</v>
      </c>
      <c r="C23" s="228">
        <f>IF(B23="","",IF(LEN(B23)&gt;9,SUMIFS(Options!$H$3:$H$32,Options!$B$3:$B$32,Check!B23),SUMIFS('Master P&amp;L'!$H$11:$H$106,'Master P&amp;L'!$B$11:$B$106,Check!B23)))</f>
        <v>3600</v>
      </c>
      <c r="D23" s="228">
        <f>IF(B23="","",SUMIFS(Input_APM!N:N,Input_APM!L:L,Check!B23,Input_APM!M:M,Check!$F$1))</f>
        <v>0</v>
      </c>
      <c r="E23" s="212">
        <f t="shared" si="5"/>
        <v>3600</v>
      </c>
      <c r="F23" s="228">
        <f>IF(B23="","",SUMIFS(Input_APM!N:N,Input_APM!M:M,Check!$F$1,Input_APM!L:L,Check!B23))</f>
        <v>0</v>
      </c>
      <c r="G23" s="228">
        <f>IF(B23="","",SUMIFS(Input_APM!N:N,Input_APM!M:M,Check!$G$1,Input_APM!L:L,Check!B23))</f>
        <v>0</v>
      </c>
      <c r="H23" s="212">
        <f t="shared" si="0"/>
        <v>0</v>
      </c>
      <c r="I23" s="212">
        <f>SUMIFS(Input_APM!N:N,Input_APM!L:L,Check!B23)</f>
        <v>0</v>
      </c>
      <c r="J23" s="214">
        <f t="shared" si="3"/>
        <v>0</v>
      </c>
      <c r="K23" s="21">
        <f>IF(B23="","",SUMIFS('Input_APM (Zenith)'!N:N,'Input_APM (Zenith)'!L:L,Check!B23,'Input_APM (Zenith)'!M:M,Check!$F$1))</f>
        <v>0</v>
      </c>
      <c r="L23" s="21">
        <f>IF(B23="","",SUMIFS('Input_APM (Zenith)'!N:N,'Input_APM (Zenith)'!L:L,Check!B23,'Input_APM (Zenith)'!M:M,Check!$G$1))</f>
        <v>0</v>
      </c>
      <c r="M23" s="234">
        <f t="shared" si="4"/>
        <v>0</v>
      </c>
      <c r="O23" t="s">
        <v>301</v>
      </c>
      <c r="P23" s="212">
        <f>IF(O23="","",IF(OR(LEFT(O23,4)="Cash",LEFT(O23,4)="Prov"),0,SUMIFS(Input_APM!N:N,Input_APM!L:L,Check!O23)))</f>
        <v>0</v>
      </c>
      <c r="Q23" s="21">
        <f>IF(O23="","",IF(LEN(O23)&gt;9,SUMIFS(Options!$H$3:$H$32,Options!$B$3:$B$32,Check!O23),SUMIFS('Master P&amp;L'!$H$11:$H$106,'Master P&amp;L'!$B$11:$B$106,Check!O23)))</f>
        <v>0</v>
      </c>
      <c r="R23" s="212">
        <f t="shared" si="1"/>
        <v>0</v>
      </c>
      <c r="S23" s="355" t="str">
        <f t="shared" si="2"/>
        <v>Ok</v>
      </c>
      <c r="V23" s="13"/>
    </row>
    <row r="24" spans="2:22">
      <c r="B24" t="s">
        <v>2344</v>
      </c>
      <c r="C24" s="228">
        <f>IF(B24="","",IF(LEN(B24)&gt;9,SUMIFS(Options!$H$3:$H$32,Options!$B$3:$B$32,Check!B24),SUMIFS('Master P&amp;L'!$H$11:$H$106,'Master P&amp;L'!$B$11:$B$106,Check!B24)))</f>
        <v>44721</v>
      </c>
      <c r="D24" s="228">
        <f>IF(B24="","",SUMIFS(Input_APM!N:N,Input_APM!L:L,Check!B24,Input_APM!M:M,Check!$F$1))</f>
        <v>29767</v>
      </c>
      <c r="E24" s="212">
        <f t="shared" si="5"/>
        <v>13000</v>
      </c>
      <c r="F24" s="228">
        <f>IF(B24="","",SUMIFS(Input_APM!N:N,Input_APM!M:M,Check!$F$1,Input_APM!L:L,Check!B24))</f>
        <v>29767</v>
      </c>
      <c r="G24" s="228">
        <f>IF(B24="","",SUMIFS(Input_APM!N:N,Input_APM!M:M,Check!$G$1,Input_APM!L:L,Check!B24))</f>
        <v>0</v>
      </c>
      <c r="H24" s="212">
        <f t="shared" si="0"/>
        <v>29767</v>
      </c>
      <c r="I24" s="212">
        <f>SUMIFS(Input_APM!N:N,Input_APM!L:L,Check!B24)</f>
        <v>29767</v>
      </c>
      <c r="J24" s="214">
        <f t="shared" si="3"/>
        <v>0</v>
      </c>
      <c r="K24" s="21">
        <f>IF(B24="","",SUMIFS('Input_APM (Zenith)'!N:N,'Input_APM (Zenith)'!L:L,Check!B24,'Input_APM (Zenith)'!M:M,Check!$F$1))</f>
        <v>1954</v>
      </c>
      <c r="L24" s="21">
        <f>IF(B24="","",SUMIFS('Input_APM (Zenith)'!N:N,'Input_APM (Zenith)'!L:L,Check!B24,'Input_APM (Zenith)'!M:M,Check!$G$1))</f>
        <v>0</v>
      </c>
      <c r="M24" s="234">
        <f t="shared" si="4"/>
        <v>31721</v>
      </c>
      <c r="O24" t="s">
        <v>302</v>
      </c>
      <c r="P24" s="212">
        <f>IF(O24="","",IF(OR(LEFT(O24,4)="Cash",LEFT(O24,4)="Prov"),0,SUMIFS(Input_APM!N:N,Input_APM!L:L,Check!O24)))</f>
        <v>0</v>
      </c>
      <c r="Q24" s="21">
        <f>IF(O24="","",IF(LEN(O24)&gt;9,SUMIFS(Options!$H$3:$H$32,Options!$B$3:$B$32,Check!O24),SUMIFS('Master P&amp;L'!$H$11:$H$106,'Master P&amp;L'!$B$11:$B$106,Check!O24)))</f>
        <v>0</v>
      </c>
      <c r="R24" s="212">
        <f t="shared" si="1"/>
        <v>0</v>
      </c>
      <c r="S24" s="355" t="str">
        <f t="shared" si="2"/>
        <v>Ok</v>
      </c>
      <c r="V24" s="13"/>
    </row>
    <row r="25" spans="2:22">
      <c r="B25" t="s">
        <v>2353</v>
      </c>
      <c r="C25" s="228">
        <f>IF(B25="","",IF(LEN(B25)&gt;9,SUMIFS(Options!$H$3:$H$32,Options!$B$3:$B$32,Check!B25),SUMIFS('Master P&amp;L'!$H$11:$H$106,'Master P&amp;L'!$B$11:$B$106,Check!B25)))</f>
        <v>10216</v>
      </c>
      <c r="D25" s="228">
        <f>IF(B25="","",SUMIFS(Input_APM!N:N,Input_APM!L:L,Check!B25,Input_APM!M:M,Check!$F$1))</f>
        <v>7238</v>
      </c>
      <c r="E25" s="212">
        <f t="shared" si="5"/>
        <v>2500</v>
      </c>
      <c r="F25" s="228">
        <f>IF(B25="","",SUMIFS(Input_APM!N:N,Input_APM!M:M,Check!$F$1,Input_APM!L:L,Check!B25))</f>
        <v>7238</v>
      </c>
      <c r="G25" s="228">
        <f>IF(B25="","",SUMIFS(Input_APM!N:N,Input_APM!M:M,Check!$G$1,Input_APM!L:L,Check!B25))</f>
        <v>0</v>
      </c>
      <c r="H25" s="212">
        <f t="shared" si="0"/>
        <v>7238</v>
      </c>
      <c r="I25" s="212">
        <f>SUMIFS(Input_APM!N:N,Input_APM!L:L,Check!B25)</f>
        <v>7238</v>
      </c>
      <c r="J25" s="214">
        <f t="shared" si="3"/>
        <v>0</v>
      </c>
      <c r="K25" s="21">
        <f>IF(B25="","",SUMIFS('Input_APM (Zenith)'!N:N,'Input_APM (Zenith)'!L:L,Check!B25,'Input_APM (Zenith)'!M:M,Check!$F$1))</f>
        <v>478</v>
      </c>
      <c r="L25" s="21">
        <f>IF(B25="","",SUMIFS('Input_APM (Zenith)'!N:N,'Input_APM (Zenith)'!L:L,Check!B25,'Input_APM (Zenith)'!M:M,Check!$G$1))</f>
        <v>0</v>
      </c>
      <c r="M25" s="234">
        <f t="shared" si="4"/>
        <v>7716</v>
      </c>
      <c r="O25" t="s">
        <v>1906</v>
      </c>
      <c r="P25" s="212">
        <f>IF(O25="","",IF(OR(LEFT(O25,4)="Cash",LEFT(O25,4)="Prov"),0,SUMIFS(Input_APM!N:N,Input_APM!L:L,Check!O25)))</f>
        <v>4625000</v>
      </c>
      <c r="Q25" s="21">
        <f>IF(O25="","",IF(LEN(O25)&gt;9,SUMIFS(Options!$H$3:$H$32,Options!$B$3:$B$32,Check!O25),SUMIFS('Master P&amp;L'!$H$11:$H$106,'Master P&amp;L'!$B$11:$B$106,Check!O25)))</f>
        <v>0</v>
      </c>
      <c r="R25" s="212">
        <f t="shared" si="1"/>
        <v>4625000</v>
      </c>
      <c r="S25" s="355" t="str">
        <f t="shared" si="2"/>
        <v>Erro</v>
      </c>
      <c r="V25" s="13"/>
    </row>
    <row r="26" spans="2:22">
      <c r="B26" t="s">
        <v>2367</v>
      </c>
      <c r="C26" s="228">
        <f>IF(B26="","",IF(LEN(B26)&gt;9,SUMIFS(Options!$H$3:$H$32,Options!$B$3:$B$32,Check!B26),SUMIFS('Master P&amp;L'!$H$11:$H$106,'Master P&amp;L'!$B$11:$B$106,Check!B26)))</f>
        <v>0</v>
      </c>
      <c r="D26" s="228">
        <f>IF(B26="","",SUMIFS(Input_APM!N:N,Input_APM!L:L,Check!B26,Input_APM!M:M,Check!$F$1))</f>
        <v>0</v>
      </c>
      <c r="E26" s="214">
        <f>IF(B26="","",C26-M26)</f>
        <v>0</v>
      </c>
      <c r="F26" s="228">
        <f>IF(B26="","",SUMIFS(Input_APM!N:N,Input_APM!M:M,Check!$F$1,Input_APM!L:L,Check!B26))</f>
        <v>0</v>
      </c>
      <c r="G26" s="228">
        <f>IF(B26="","",SUMIFS(Input_APM!N:N,Input_APM!M:M,Check!$G$1,Input_APM!L:L,Check!B26))</f>
        <v>0</v>
      </c>
      <c r="H26" s="212">
        <f t="shared" si="0"/>
        <v>0</v>
      </c>
      <c r="I26" s="212">
        <f>SUMIFS(Input_APM!N:N,Input_APM!L:L,Check!B26)</f>
        <v>0</v>
      </c>
      <c r="J26" s="214">
        <f t="shared" si="3"/>
        <v>0</v>
      </c>
      <c r="K26" s="21">
        <f>IF(B26="","",SUMIFS('Input_APM (Zenith)'!N:N,'Input_APM (Zenith)'!L:L,Check!B26,'Input_APM (Zenith)'!M:M,Check!$F$1))</f>
        <v>0</v>
      </c>
      <c r="L26" s="21">
        <f>IF(B26="","",SUMIFS('Input_APM (Zenith)'!N:N,'Input_APM (Zenith)'!L:L,Check!B26,'Input_APM (Zenith)'!M:M,Check!$G$1))</f>
        <v>0</v>
      </c>
      <c r="M26" s="234">
        <f t="shared" si="4"/>
        <v>0</v>
      </c>
      <c r="O26" t="s">
        <v>2344</v>
      </c>
      <c r="P26" s="212">
        <f>IF(O26="","",IF(OR(LEFT(O26,4)="Cash",LEFT(O26,4)="Prov"),0,SUMIFS(Input_APM!N:N,Input_APM!L:L,Check!O26)))</f>
        <v>29767</v>
      </c>
      <c r="Q26" s="21">
        <f>IF(O26="","",IF(LEN(O26)&gt;9,SUMIFS(Options!$H$3:$H$32,Options!$B$3:$B$32,Check!O26),SUMIFS('Master P&amp;L'!$H$11:$H$106,'Master P&amp;L'!$B$11:$B$106,Check!O26)))</f>
        <v>44721</v>
      </c>
      <c r="R26" s="212">
        <f t="shared" si="1"/>
        <v>-14954</v>
      </c>
      <c r="S26" s="355">
        <f t="shared" si="2"/>
        <v>0.66561570626774891</v>
      </c>
      <c r="V26" s="13"/>
    </row>
    <row r="27" spans="2:22">
      <c r="B27" t="s">
        <v>137</v>
      </c>
      <c r="C27" s="228">
        <f>IF(B27="","",IF(LEN(B27)&gt;9,SUMIFS(Options!$H$3:$H$32,Options!$B$3:$B$32,Check!B27),SUMIFS('Master P&amp;L'!$H$11:$H$106,'Master P&amp;L'!$B$11:$B$106,Check!B27)))</f>
        <v>0</v>
      </c>
      <c r="D27" s="228">
        <f>IF(B27="","",SUMIFS(Input_APM!N:N,Input_APM!L:L,Check!B27,Input_APM!M:M,Check!$F$1))</f>
        <v>0</v>
      </c>
      <c r="E27" s="214">
        <f t="shared" si="5"/>
        <v>0</v>
      </c>
      <c r="F27" s="228">
        <f>IF(B27="","",SUMIFS(Input_APM!N:N,Input_APM!M:M,Check!$F$1,Input_APM!L:L,Check!B27))</f>
        <v>0</v>
      </c>
      <c r="G27" s="228">
        <f>IF(B27="","",SUMIFS(Input_APM!N:N,Input_APM!M:M,Check!$G$1,Input_APM!L:L,Check!B27))</f>
        <v>0</v>
      </c>
      <c r="H27" s="212">
        <f t="shared" si="0"/>
        <v>0</v>
      </c>
      <c r="I27" s="212">
        <f>SUMIFS(Input_APM!N:N,Input_APM!L:L,Check!B27)</f>
        <v>0</v>
      </c>
      <c r="J27" s="214">
        <f t="shared" si="3"/>
        <v>0</v>
      </c>
      <c r="K27" s="21">
        <f>IF(B27="","",SUMIFS('Input_APM (Zenith)'!N:N,'Input_APM (Zenith)'!L:L,Check!B27,'Input_APM (Zenith)'!M:M,Check!$F$1))</f>
        <v>0</v>
      </c>
      <c r="L27" s="21">
        <f>IF(B27="","",SUMIFS('Input_APM (Zenith)'!N:N,'Input_APM (Zenith)'!L:L,Check!B27,'Input_APM (Zenith)'!M:M,Check!$G$1))</f>
        <v>0</v>
      </c>
      <c r="M27" s="234">
        <f t="shared" si="4"/>
        <v>0</v>
      </c>
      <c r="O27" t="s">
        <v>1754</v>
      </c>
      <c r="P27" s="212">
        <f>IF(O27="","",IF(OR(LEFT(O27,4)="Cash",LEFT(O27,4)="Prov"),0,SUMIFS(Input_APM!N:N,Input_APM!L:L,Check!O27)))</f>
        <v>60248</v>
      </c>
      <c r="Q27" s="21">
        <f>IF(O27="","",IF(LEN(O27)&gt;9,SUMIFS(Options!$H$3:$H$32,Options!$B$3:$B$32,Check!O27),SUMIFS('Master P&amp;L'!$H$11:$H$106,'Master P&amp;L'!$B$11:$B$106,Check!O27)))</f>
        <v>38300</v>
      </c>
      <c r="R27" s="212">
        <f t="shared" si="1"/>
        <v>21948</v>
      </c>
      <c r="S27" s="355">
        <f t="shared" si="2"/>
        <v>1.5730548302872063</v>
      </c>
      <c r="V27" s="13"/>
    </row>
    <row r="28" spans="2:22">
      <c r="B28" t="s">
        <v>96</v>
      </c>
      <c r="C28" s="228">
        <f>IF(B28="","",IF(LEN(B28)&gt;9,SUMIFS(Options!$H$3:$H$32,Options!$B$3:$B$32,Check!B28),SUMIFS('Master P&amp;L'!$H$11:$H$106,'Master P&amp;L'!$B$11:$B$106,Check!B28)))</f>
        <v>3738</v>
      </c>
      <c r="D28" s="228">
        <f>IF(B28="","",SUMIFS(Input_APM!N:N,Input_APM!L:L,Check!B28,Input_APM!M:M,Check!$F$1))</f>
        <v>708</v>
      </c>
      <c r="E28" s="214">
        <f>IF(B28="","",C28-M28)</f>
        <v>2940</v>
      </c>
      <c r="F28" s="228">
        <f>IF(B28="","",SUMIFS(Input_APM!N:N,Input_APM!M:M,Check!$F$1,Input_APM!L:L,Check!B28))</f>
        <v>708</v>
      </c>
      <c r="G28" s="228">
        <f>IF(B28="","",SUMIFS(Input_APM!N:N,Input_APM!M:M,Check!$G$1,Input_APM!L:L,Check!B28))</f>
        <v>0</v>
      </c>
      <c r="H28" s="212">
        <f t="shared" si="0"/>
        <v>708</v>
      </c>
      <c r="I28" s="212">
        <f>SUMIFS(Input_APM!N:N,Input_APM!L:L,Check!B28)</f>
        <v>708</v>
      </c>
      <c r="J28" s="214">
        <f t="shared" si="3"/>
        <v>0</v>
      </c>
      <c r="K28" s="21">
        <f>IF(B28="","",SUMIFS('Input_APM (Zenith)'!N:N,'Input_APM (Zenith)'!L:L,Check!B28,'Input_APM (Zenith)'!M:M,Check!$F$1))</f>
        <v>90</v>
      </c>
      <c r="L28" s="21">
        <f>IF(B28="","",SUMIFS('Input_APM (Zenith)'!N:N,'Input_APM (Zenith)'!L:L,Check!B28,'Input_APM (Zenith)'!M:M,Check!$G$1))</f>
        <v>0</v>
      </c>
      <c r="M28" s="234">
        <f t="shared" si="4"/>
        <v>798</v>
      </c>
      <c r="O28" t="s">
        <v>2136</v>
      </c>
      <c r="P28" s="212">
        <f>IF(O28="","",IF(OR(LEFT(O28,4)="Cash",LEFT(O28,4)="Prov"),0,SUMIFS(Input_APM!N:N,Input_APM!L:L,Check!O28)))</f>
        <v>0</v>
      </c>
      <c r="Q28" s="21">
        <f>IF(O28="","",IF(LEN(O28)&gt;9,SUMIFS(Options!$H$3:$H$32,Options!$B$3:$B$32,Check!O28),SUMIFS('Master P&amp;L'!$H$11:$H$106,'Master P&amp;L'!$B$11:$B$106,Check!O28)))</f>
        <v>0</v>
      </c>
      <c r="R28" s="212">
        <f t="shared" si="1"/>
        <v>0</v>
      </c>
      <c r="S28" s="355" t="str">
        <f t="shared" si="2"/>
        <v>Ok</v>
      </c>
      <c r="V28" s="13"/>
    </row>
    <row r="29" spans="2:22">
      <c r="B29" t="s">
        <v>708</v>
      </c>
      <c r="C29" s="228">
        <f>IF(B29="","",IF(LEN(B29)&gt;9,SUMIFS(Options!$H$3:$H$32,Options!$B$3:$B$32,Check!B29),SUMIFS('Master P&amp;L'!$H$11:$H$106,'Master P&amp;L'!$B$11:$B$106,Check!B29)))</f>
        <v>0</v>
      </c>
      <c r="D29" s="228">
        <f>IF(B29="","",SUMIFS(Input_APM!N:N,Input_APM!L:L,Check!B29,Input_APM!M:M,Check!$F$1))</f>
        <v>0</v>
      </c>
      <c r="E29" s="214">
        <f t="shared" si="5"/>
        <v>0</v>
      </c>
      <c r="F29" s="228">
        <f>IF(B29="","",SUMIFS(Input_APM!N:N,Input_APM!M:M,Check!$F$1,Input_APM!L:L,Check!B29))</f>
        <v>0</v>
      </c>
      <c r="G29" s="228">
        <f>IF(B29="","",SUMIFS(Input_APM!N:N,Input_APM!M:M,Check!$G$1,Input_APM!L:L,Check!B29))</f>
        <v>0</v>
      </c>
      <c r="H29" s="212">
        <f t="shared" si="0"/>
        <v>0</v>
      </c>
      <c r="I29" s="212">
        <f>SUMIFS(Input_APM!N:N,Input_APM!L:L,Check!B29)</f>
        <v>0</v>
      </c>
      <c r="J29" s="214">
        <f t="shared" si="3"/>
        <v>0</v>
      </c>
      <c r="K29" s="21">
        <f>IF(B29="","",SUMIFS('Input_APM (Zenith)'!N:N,'Input_APM (Zenith)'!L:L,Check!B29,'Input_APM (Zenith)'!M:M,Check!$F$1))</f>
        <v>0</v>
      </c>
      <c r="L29" s="21">
        <f>IF(B29="","",SUMIFS('Input_APM (Zenith)'!N:N,'Input_APM (Zenith)'!L:L,Check!B29,'Input_APM (Zenith)'!M:M,Check!$G$1))</f>
        <v>0</v>
      </c>
      <c r="M29" s="234">
        <f>IF(B29="","",F29+G29+K29+L29)</f>
        <v>0</v>
      </c>
      <c r="O29" t="s">
        <v>2259</v>
      </c>
      <c r="P29" s="212">
        <f>IF(O29="","",IF(OR(LEFT(O29,4)="Cash",LEFT(O29,4)="Prov"),0,SUMIFS(Input_APM!N:N,Input_APM!L:L,Check!O29)))</f>
        <v>797</v>
      </c>
      <c r="Q29" s="21">
        <f>IF(O29="","",IF(LEN(O29)&gt;9,SUMIFS(Options!$H$3:$H$32,Options!$B$3:$B$32,Check!O29),SUMIFS('Master P&amp;L'!$H$11:$H$106,'Master P&amp;L'!$B$11:$B$106,Check!O29)))</f>
        <v>0</v>
      </c>
      <c r="R29" s="212">
        <f t="shared" si="1"/>
        <v>797</v>
      </c>
      <c r="S29" s="355" t="str">
        <f t="shared" si="2"/>
        <v>Erro</v>
      </c>
      <c r="V29" s="13"/>
    </row>
    <row r="30" spans="2:22">
      <c r="B30" t="s">
        <v>94</v>
      </c>
      <c r="C30" s="228">
        <f>IF(B30="","",IF(LEN(B30)&gt;9,SUMIFS(Options!$H$3:$H$32,Options!$B$3:$B$32,Check!B30),SUMIFS('Master P&amp;L'!$H$11:$H$106,'Master P&amp;L'!$B$11:$B$106,Check!B30)))</f>
        <v>23027</v>
      </c>
      <c r="D30" s="228">
        <f>IF(B30="","",SUMIFS(Input_APM!N:N,Input_APM!L:L,Check!B30,Input_APM!M:M,Check!$F$1))</f>
        <v>18703</v>
      </c>
      <c r="E30" s="214">
        <f t="shared" si="5"/>
        <v>3019</v>
      </c>
      <c r="F30" s="228">
        <f>IF(B30="","",SUMIFS(Input_APM!N:N,Input_APM!M:M,Check!$F$1,Input_APM!L:L,Check!B30))</f>
        <v>18703</v>
      </c>
      <c r="G30" s="228">
        <f>IF(B30="","",SUMIFS(Input_APM!N:N,Input_APM!M:M,Check!$G$1,Input_APM!L:L,Check!B30))</f>
        <v>0</v>
      </c>
      <c r="H30" s="212">
        <f t="shared" si="0"/>
        <v>18703</v>
      </c>
      <c r="I30" s="212">
        <f>SUMIFS(Input_APM!N:N,Input_APM!L:L,Check!B30)</f>
        <v>18703</v>
      </c>
      <c r="J30" s="214">
        <f t="shared" si="3"/>
        <v>0</v>
      </c>
      <c r="K30" s="21">
        <f>IF(B30="","",SUMIFS('Input_APM (Zenith)'!N:N,'Input_APM (Zenith)'!L:L,Check!B30,'Input_APM (Zenith)'!M:M,Check!$F$1))</f>
        <v>1305</v>
      </c>
      <c r="L30" s="21">
        <f>IF(B30="","",SUMIFS('Input_APM (Zenith)'!N:N,'Input_APM (Zenith)'!L:L,Check!B30,'Input_APM (Zenith)'!M:M,Check!$G$1))</f>
        <v>0</v>
      </c>
      <c r="M30" s="234">
        <f>IF(B30="","",F30+G30+K30+L30)</f>
        <v>20008</v>
      </c>
      <c r="O30" t="s">
        <v>2260</v>
      </c>
      <c r="P30" s="212">
        <f>IF(O30="","",IF(OR(LEFT(O30,4)="Cash",LEFT(O30,4)="Prov"),0,SUMIFS(Input_APM!N:N,Input_APM!L:L,Check!O30)))</f>
        <v>-797</v>
      </c>
      <c r="Q30" s="21">
        <f>IF(O30="","",IF(LEN(O30)&gt;9,SUMIFS(Options!$H$3:$H$32,Options!$B$3:$B$32,Check!O30),SUMIFS('Master P&amp;L'!$H$11:$H$106,'Master P&amp;L'!$B$11:$B$106,Check!O30)))</f>
        <v>0</v>
      </c>
      <c r="R30" s="212">
        <f t="shared" si="1"/>
        <v>-797</v>
      </c>
      <c r="S30" s="355" t="str">
        <f t="shared" si="2"/>
        <v>Erro</v>
      </c>
      <c r="V30" s="13"/>
    </row>
    <row r="31" spans="2:22">
      <c r="B31" t="s">
        <v>138</v>
      </c>
      <c r="C31" s="228">
        <f>IF(B31="","",IF(LEN(B31)&gt;9,SUMIFS(Options!$H$3:$H$32,Options!$B$3:$B$32,Check!B31),SUMIFS('Master P&amp;L'!$H$11:$H$106,'Master P&amp;L'!$B$11:$B$106,Check!B31)))</f>
        <v>0</v>
      </c>
      <c r="D31" s="228">
        <f>IF(B31="","",SUMIFS(Input_APM!N:N,Input_APM!L:L,Check!B31,Input_APM!M:M,Check!$F$1))</f>
        <v>2771</v>
      </c>
      <c r="E31" s="214">
        <f>IF(B31="","",C31-M31)</f>
        <v>-2951</v>
      </c>
      <c r="F31" s="228">
        <f>IF(B31="","",SUMIFS(Input_APM!N:N,Input_APM!M:M,Check!$F$1,Input_APM!L:L,Check!B31))</f>
        <v>2771</v>
      </c>
      <c r="G31" s="228">
        <f>IF(B31="","",SUMIFS(Input_APM!N:N,Input_APM!M:M,Check!$G$1,Input_APM!L:L,Check!B31))</f>
        <v>0</v>
      </c>
      <c r="H31" s="212">
        <f t="shared" si="0"/>
        <v>2771</v>
      </c>
      <c r="I31" s="212">
        <f>SUMIFS(Input_APM!N:N,Input_APM!L:L,Check!B31)</f>
        <v>2771</v>
      </c>
      <c r="J31" s="214">
        <f t="shared" si="3"/>
        <v>0</v>
      </c>
      <c r="K31" s="21">
        <f>IF(B31="","",SUMIFS('Input_APM (Zenith)'!N:N,'Input_APM (Zenith)'!L:L,Check!B31,'Input_APM (Zenith)'!M:M,Check!$F$1))</f>
        <v>180</v>
      </c>
      <c r="L31" s="21">
        <f>IF(B31="","",SUMIFS('Input_APM (Zenith)'!N:N,'Input_APM (Zenith)'!L:L,Check!B31,'Input_APM (Zenith)'!M:M,Check!$G$1))</f>
        <v>0</v>
      </c>
      <c r="M31" s="234">
        <f t="shared" si="4"/>
        <v>2951</v>
      </c>
      <c r="O31" t="s">
        <v>2145</v>
      </c>
      <c r="P31" s="212">
        <f>IF(O31="","",IF(OR(LEFT(O31,4)="Cash",LEFT(O31,4)="Prov"),0,SUMIFS(Input_APM!N:N,Input_APM!L:L,Check!O31)))</f>
        <v>13594</v>
      </c>
      <c r="Q31" s="21">
        <f>IF(O31="","",IF(LEN(O31)&gt;9,SUMIFS(Options!$H$3:$H$32,Options!$B$3:$B$32,Check!O31),SUMIFS('Master P&amp;L'!$H$11:$H$106,'Master P&amp;L'!$B$11:$B$106,Check!O31)))</f>
        <v>14500</v>
      </c>
      <c r="R31" s="212">
        <f t="shared" si="1"/>
        <v>-906</v>
      </c>
      <c r="S31" s="355">
        <f t="shared" si="2"/>
        <v>0.93751724137931036</v>
      </c>
      <c r="V31" s="13"/>
    </row>
    <row r="32" spans="2:22">
      <c r="B32" t="s">
        <v>2128</v>
      </c>
      <c r="C32" s="228">
        <f>IF(B32="","",IF(LEN(B32)&gt;9,SUMIFS(Options!$H$3:$H$32,Options!$B$3:$B$32,Check!B32),SUMIFS('Master P&amp;L'!$H$11:$H$106,'Master P&amp;L'!$B$11:$B$106,Check!B32)))</f>
        <v>35500</v>
      </c>
      <c r="D32" s="228">
        <f>IF(B32="","",SUMIFS(Input_APM!N:N,Input_APM!L:L,Check!B32,Input_APM!M:M,Check!$F$1))</f>
        <v>33235</v>
      </c>
      <c r="E32" s="214">
        <f t="shared" si="5"/>
        <v>0</v>
      </c>
      <c r="F32" s="228">
        <f>IF(B32="","",SUMIFS(Input_APM!N:N,Input_APM!M:M,Check!$F$1,Input_APM!L:L,Check!B32))</f>
        <v>33235</v>
      </c>
      <c r="G32" s="228">
        <f>IF(B32="","",SUMIFS(Input_APM!N:N,Input_APM!M:M,Check!$G$1,Input_APM!L:L,Check!B32))</f>
        <v>0</v>
      </c>
      <c r="H32" s="212">
        <f t="shared" si="0"/>
        <v>33235</v>
      </c>
      <c r="I32" s="212">
        <f>SUMIFS(Input_APM!N:N,Input_APM!L:L,Check!B32)</f>
        <v>33235</v>
      </c>
      <c r="J32" s="214">
        <f t="shared" si="3"/>
        <v>0</v>
      </c>
      <c r="K32" s="21">
        <f>IF(B32="","",SUMIFS('Input_APM (Zenith)'!N:N,'Input_APM (Zenith)'!L:L,Check!B32,'Input_APM (Zenith)'!M:M,Check!$F$1))</f>
        <v>2265</v>
      </c>
      <c r="L32" s="21">
        <f>IF(B32="","",SUMIFS('Input_APM (Zenith)'!N:N,'Input_APM (Zenith)'!L:L,Check!B32,'Input_APM (Zenith)'!M:M,Check!$G$1))</f>
        <v>0</v>
      </c>
      <c r="M32" s="234">
        <f t="shared" si="4"/>
        <v>35500</v>
      </c>
      <c r="O32" t="s">
        <v>1896</v>
      </c>
      <c r="P32" s="212">
        <f>IF(O32="","",IF(OR(LEFT(O32,4)="Cash",LEFT(O32,4)="Prov"),0,SUMIFS(Input_APM!N:N,Input_APM!L:L,Check!O32)))</f>
        <v>276451</v>
      </c>
      <c r="Q32" s="21">
        <f>IF(O32="","",IF(LEN(O32)&gt;9,SUMIFS(Options!$H$3:$H$32,Options!$B$3:$B$32,Check!O32),SUMIFS('Master P&amp;L'!$H$11:$H$106,'Master P&amp;L'!$B$11:$B$106,Check!O32)))</f>
        <v>0</v>
      </c>
      <c r="R32" s="212">
        <f t="shared" si="1"/>
        <v>276451</v>
      </c>
      <c r="S32" s="355" t="str">
        <f t="shared" si="2"/>
        <v>Erro</v>
      </c>
      <c r="V32" s="13"/>
    </row>
    <row r="33" spans="1:22">
      <c r="B33" t="s">
        <v>88</v>
      </c>
      <c r="C33" s="228">
        <f>IF(B33="","",IF(LEN(B33)&gt;9,SUMIFS(Options!$H$3:$H$32,Options!$B$3:$B$32,Check!B33),SUMIFS('Master P&amp;L'!$H$11:$H$106,'Master P&amp;L'!$B$11:$B$106,Check!B33)))</f>
        <v>23500</v>
      </c>
      <c r="D33" s="228">
        <f>IF(B33="","",SUMIFS(Input_APM!N:N,Input_APM!L:L,Check!B33,Input_APM!M:M,Check!$F$1))</f>
        <v>42865</v>
      </c>
      <c r="E33" s="212">
        <f t="shared" si="5"/>
        <v>-22250</v>
      </c>
      <c r="F33" s="228">
        <f>IF(B33="","",SUMIFS(Input_APM!N:N,Input_APM!M:M,Check!$F$1,Input_APM!L:L,Check!B33))</f>
        <v>42865</v>
      </c>
      <c r="G33" s="228">
        <f>IF(B33="","",SUMIFS(Input_APM!N:N,Input_APM!M:M,Check!$G$1,Input_APM!L:L,Check!B33))</f>
        <v>0</v>
      </c>
      <c r="H33" s="212">
        <f t="shared" si="0"/>
        <v>42865</v>
      </c>
      <c r="I33" s="212">
        <f>SUMIFS(Input_APM!N:N,Input_APM!L:L,Check!B33)</f>
        <v>42865</v>
      </c>
      <c r="J33" s="214">
        <f t="shared" si="3"/>
        <v>0</v>
      </c>
      <c r="K33" s="21">
        <f>IF(B33="","",SUMIFS('Input_APM (Zenith)'!N:N,'Input_APM (Zenith)'!L:L,Check!B33,'Input_APM (Zenith)'!M:M,Check!$F$1))</f>
        <v>2885</v>
      </c>
      <c r="L33" s="21">
        <f>IF(B33="","",SUMIFS('Input_APM (Zenith)'!N:N,'Input_APM (Zenith)'!L:L,Check!B33,'Input_APM (Zenith)'!M:M,Check!$G$1))</f>
        <v>0</v>
      </c>
      <c r="M33" s="234">
        <f t="shared" si="4"/>
        <v>45750</v>
      </c>
      <c r="O33" t="s">
        <v>1897</v>
      </c>
      <c r="P33" s="212">
        <f>IF(O33="","",IF(OR(LEFT(O33,4)="Cash",LEFT(O33,4)="Prov"),0,SUMIFS(Input_APM!N:N,Input_APM!L:L,Check!O33)))</f>
        <v>-276451</v>
      </c>
      <c r="Q33" s="21">
        <f>IF(O33="","",IF(LEN(O33)&gt;9,SUMIFS(Options!$H$3:$H$32,Options!$B$3:$B$32,Check!O33),SUMIFS('Master P&amp;L'!$H$11:$H$106,'Master P&amp;L'!$B$11:$B$106,Check!O33)))</f>
        <v>0</v>
      </c>
      <c r="R33" s="212">
        <f t="shared" si="1"/>
        <v>-276451</v>
      </c>
      <c r="S33" s="355" t="str">
        <f t="shared" si="2"/>
        <v>Erro</v>
      </c>
      <c r="V33" s="13"/>
    </row>
    <row r="34" spans="1:22">
      <c r="B34" t="s">
        <v>2261</v>
      </c>
      <c r="C34" s="228">
        <f>IF(B34="","",IF(LEN(B34)&gt;9,SUMIFS(Options!$H$3:$H$32,Options!$B$3:$B$32,Check!B34),SUMIFS('Master P&amp;L'!$H$11:$H$106,'Master P&amp;L'!$B$11:$B$106,Check!B34)))</f>
        <v>-11500</v>
      </c>
      <c r="D34" s="228">
        <f>IF(B34="","",SUMIFS(Input_APM!N:N,Input_APM!L:L,Check!B34,Input_APM!M:M,Check!$F$1))</f>
        <v>-10782</v>
      </c>
      <c r="E34" s="212">
        <f t="shared" si="5"/>
        <v>0</v>
      </c>
      <c r="F34" s="228">
        <f>IF(B34="","",SUMIFS(Input_APM!N:N,Input_APM!M:M,Check!$F$1,Input_APM!L:L,Check!B34))</f>
        <v>-10782</v>
      </c>
      <c r="G34" s="228">
        <f>IF(B34="","",SUMIFS(Input_APM!N:N,Input_APM!M:M,Check!$G$1,Input_APM!L:L,Check!B34))</f>
        <v>0</v>
      </c>
      <c r="H34" s="212">
        <f t="shared" si="0"/>
        <v>-10782</v>
      </c>
      <c r="I34" s="212">
        <f>SUMIFS(Input_APM!N:N,Input_APM!L:L,Check!B34)</f>
        <v>-10782</v>
      </c>
      <c r="J34" s="214">
        <f t="shared" si="3"/>
        <v>0</v>
      </c>
      <c r="K34" s="21">
        <f>IF(B34="","",SUMIFS('Input_APM (Zenith)'!N:N,'Input_APM (Zenith)'!L:L,Check!B34,'Input_APM (Zenith)'!M:M,Check!$F$1))</f>
        <v>-718</v>
      </c>
      <c r="L34" s="21">
        <f>IF(B34="","",SUMIFS('Input_APM (Zenith)'!N:N,'Input_APM (Zenith)'!L:L,Check!B34,'Input_APM (Zenith)'!M:M,Check!$G$1))</f>
        <v>0</v>
      </c>
      <c r="M34" s="234">
        <f t="shared" si="4"/>
        <v>-11500</v>
      </c>
      <c r="O34" t="s">
        <v>1740</v>
      </c>
      <c r="P34" s="212">
        <f>IF(O34="","",IF(OR(LEFT(O34,4)="Cash",LEFT(O34,4)="Prov"),0,SUMIFS(Input_APM!N:N,Input_APM!L:L,Check!O34)))</f>
        <v>0</v>
      </c>
      <c r="Q34" s="21">
        <f>IF(O34="","",IF(LEN(O34)&gt;9,SUMIFS(Options!$H$3:$H$32,Options!$B$3:$B$32,Check!O34),SUMIFS('Master P&amp;L'!$H$11:$H$106,'Master P&amp;L'!$B$11:$B$106,Check!O34)))</f>
        <v>0</v>
      </c>
      <c r="R34" s="212">
        <f t="shared" si="1"/>
        <v>0</v>
      </c>
      <c r="S34" s="355" t="str">
        <f t="shared" si="2"/>
        <v>Ok</v>
      </c>
      <c r="V34" s="13"/>
    </row>
    <row r="35" spans="1:22">
      <c r="B35" t="s">
        <v>4</v>
      </c>
      <c r="C35" s="228">
        <f>IF(B35="","",IF(LEN(B35)&gt;9,SUMIFS(Options!$H$3:$H$32,Options!$B$3:$B$32,Check!B35),SUMIFS('Master P&amp;L'!$H$11:$H$106,'Master P&amp;L'!$B$11:$B$106,Check!B35)))</f>
        <v>-27500</v>
      </c>
      <c r="D35" s="228">
        <f>IF(B35="","",SUMIFS(Input_APM!N:N,Input_APM!L:L,Check!B35,Input_APM!M:M,Check!$F$1))</f>
        <v>-25765</v>
      </c>
      <c r="E35" s="214">
        <f t="shared" si="5"/>
        <v>0</v>
      </c>
      <c r="F35" s="228">
        <f>IF(B35="","",SUMIFS(Input_APM!N:N,Input_APM!M:M,Check!$F$1,Input_APM!L:L,Check!B35))</f>
        <v>-25765</v>
      </c>
      <c r="G35" s="228">
        <f>IF(B35="","",SUMIFS(Input_APM!N:N,Input_APM!M:M,Check!$G$1,Input_APM!L:L,Check!B35))</f>
        <v>0</v>
      </c>
      <c r="H35" s="212">
        <f t="shared" si="0"/>
        <v>-25765</v>
      </c>
      <c r="I35" s="212">
        <f>SUMIFS(Input_APM!N:N,Input_APM!L:L,Check!B35)</f>
        <v>-25765</v>
      </c>
      <c r="J35" s="214">
        <f t="shared" si="3"/>
        <v>0</v>
      </c>
      <c r="K35" s="21">
        <f>IF(B35="","",SUMIFS('Input_APM (Zenith)'!N:N,'Input_APM (Zenith)'!L:L,Check!B35,'Input_APM (Zenith)'!M:M,Check!$F$1))</f>
        <v>-1735</v>
      </c>
      <c r="L35" s="21">
        <f>IF(B35="","",SUMIFS('Input_APM (Zenith)'!N:N,'Input_APM (Zenith)'!L:L,Check!B35,'Input_APM (Zenith)'!M:M,Check!$G$1))</f>
        <v>0</v>
      </c>
      <c r="M35" s="234">
        <f t="shared" si="4"/>
        <v>-27500</v>
      </c>
      <c r="O35" t="s">
        <v>89</v>
      </c>
      <c r="P35" s="212">
        <f>IF(O35="","",IF(OR(LEFT(O35,4)="Cash",LEFT(O35,4)="Prov"),0,SUMIFS(Input_APM!N:N,Input_APM!L:L,Check!O35)))</f>
        <v>-7054</v>
      </c>
      <c r="Q35" s="21">
        <f>IF(O35="","",IF(LEN(O35)&gt;9,SUMIFS(Options!$H$3:$H$32,Options!$B$3:$B$32,Check!O35),SUMIFS('Master P&amp;L'!$H$11:$H$106,'Master P&amp;L'!$B$11:$B$106,Check!O35)))</f>
        <v>-20000</v>
      </c>
      <c r="R35" s="212">
        <f t="shared" si="1"/>
        <v>12946</v>
      </c>
      <c r="S35" s="355">
        <f t="shared" si="2"/>
        <v>0.35270000000000001</v>
      </c>
      <c r="V35" s="13"/>
    </row>
    <row r="36" spans="1:22">
      <c r="B36" t="s">
        <v>2224</v>
      </c>
      <c r="C36" s="228">
        <f>IF(B36="","",IF(LEN(B36)&gt;9,SUMIFS(Options!$H$3:$H$32,Options!$B$3:$B$32,Check!B36),SUMIFS('Master P&amp;L'!$H$11:$H$106,'Master P&amp;L'!$B$11:$B$106,Check!B36)))</f>
        <v>1000</v>
      </c>
      <c r="D36" s="228">
        <f>IF(B36="","",SUMIFS(Input_APM!N:N,Input_APM!L:L,Check!B36,Input_APM!M:M,Check!$F$1))</f>
        <v>935</v>
      </c>
      <c r="E36" s="214">
        <f>IF(B36="","",C36-M36)</f>
        <v>0</v>
      </c>
      <c r="F36" s="228">
        <f>IF(B36="","",SUMIFS(Input_APM!N:N,Input_APM!M:M,Check!$F$1,Input_APM!L:L,Check!B36))</f>
        <v>935</v>
      </c>
      <c r="G36" s="228">
        <f>IF(B36="","",SUMIFS(Input_APM!N:N,Input_APM!M:M,Check!$G$1,Input_APM!L:L,Check!B36))</f>
        <v>0</v>
      </c>
      <c r="H36" s="212">
        <f t="shared" si="0"/>
        <v>935</v>
      </c>
      <c r="I36" s="212">
        <f>SUMIFS(Input_APM!N:N,Input_APM!L:L,Check!B36)</f>
        <v>935</v>
      </c>
      <c r="J36" s="214">
        <f t="shared" si="3"/>
        <v>0</v>
      </c>
      <c r="K36" s="21">
        <f>IF(B36="","",SUMIFS('Input_APM (Zenith)'!N:N,'Input_APM (Zenith)'!L:L,Check!B36,'Input_APM (Zenith)'!M:M,Check!$F$1))</f>
        <v>65</v>
      </c>
      <c r="L36" s="21">
        <f>IF(B36="","",SUMIFS('Input_APM (Zenith)'!N:N,'Input_APM (Zenith)'!L:L,Check!B36,'Input_APM (Zenith)'!M:M,Check!$G$1))</f>
        <v>0</v>
      </c>
      <c r="M36" s="234">
        <f>IF(B36="","",F36+G36+K36+L36)</f>
        <v>1000</v>
      </c>
      <c r="O36" t="s">
        <v>2324</v>
      </c>
      <c r="P36" s="212">
        <f>IF(O36="","",IF(OR(LEFT(O36,4)="Cash",LEFT(O36,4)="Prov"),0,SUMIFS(Input_APM!N:N,Input_APM!L:L,Check!O36)))</f>
        <v>260</v>
      </c>
      <c r="Q36" s="21">
        <f>IF(O36="","",IF(LEN(O36)&gt;9,SUMIFS(Options!$H$3:$H$32,Options!$B$3:$B$32,Check!O36),SUMIFS('Master P&amp;L'!$H$11:$H$106,'Master P&amp;L'!$B$11:$B$106,Check!O36)))</f>
        <v>275</v>
      </c>
      <c r="R36" s="212">
        <f t="shared" si="1"/>
        <v>-15</v>
      </c>
      <c r="S36" s="355">
        <f t="shared" si="2"/>
        <v>0.94545454545454544</v>
      </c>
      <c r="V36" s="13"/>
    </row>
    <row r="37" spans="1:22">
      <c r="B37" t="s">
        <v>2102</v>
      </c>
      <c r="C37" s="228">
        <f>IF(B37="","",IF(LEN(B37)&gt;9,SUMIFS(Options!$H$3:$H$32,Options!$B$3:$B$32,Check!B37),SUMIFS('Master P&amp;L'!$H$11:$H$106,'Master P&amp;L'!$B$11:$B$106,Check!B37)))</f>
        <v>120</v>
      </c>
      <c r="D37" s="228">
        <f>IF(B37="","",SUMIFS(Input_APM!N:N,Input_APM!L:L,Check!B37,Input_APM!M:M,Check!$F$1))</f>
        <v>114</v>
      </c>
      <c r="E37" s="214">
        <f>IF(B37="","",C37-M37)</f>
        <v>0</v>
      </c>
      <c r="F37" s="228">
        <f>IF(B37="","",SUMIFS(Input_APM!N:N,Input_APM!M:M,Check!$F$1,Input_APM!L:L,Check!B37))</f>
        <v>114</v>
      </c>
      <c r="G37" s="228">
        <f>IF(B37="","",SUMIFS(Input_APM!N:N,Input_APM!M:M,Check!$G$1,Input_APM!L:L,Check!B37))</f>
        <v>0</v>
      </c>
      <c r="H37" s="212">
        <f t="shared" si="0"/>
        <v>114</v>
      </c>
      <c r="I37" s="212">
        <f>SUMIFS(Input_APM!N:N,Input_APM!L:L,Check!B37)</f>
        <v>114</v>
      </c>
      <c r="J37" s="214">
        <f t="shared" si="3"/>
        <v>0</v>
      </c>
      <c r="K37" s="21">
        <f>IF(B37="","",SUMIFS('Input_APM (Zenith)'!N:N,'Input_APM (Zenith)'!L:L,Check!B37,'Input_APM (Zenith)'!M:M,Check!$F$1))</f>
        <v>6</v>
      </c>
      <c r="L37" s="21">
        <f>IF(B37="","",SUMIFS('Input_APM (Zenith)'!N:N,'Input_APM (Zenith)'!L:L,Check!B37,'Input_APM (Zenith)'!M:M,Check!$G$1))</f>
        <v>0</v>
      </c>
      <c r="M37" s="234">
        <f t="shared" si="4"/>
        <v>120</v>
      </c>
      <c r="O37" t="s">
        <v>2325</v>
      </c>
      <c r="P37" s="212">
        <f>IF(O37="","",IF(OR(LEFT(O37,4)="Cash",LEFT(O37,4)="Prov"),0,SUMIFS(Input_APM!N:N,Input_APM!L:L,Check!O37)))</f>
        <v>-141</v>
      </c>
      <c r="Q37" s="21">
        <f>IF(O37="","",IF(LEN(O37)&gt;9,SUMIFS(Options!$H$3:$H$32,Options!$B$3:$B$32,Check!O37),SUMIFS('Master P&amp;L'!$H$11:$H$106,'Master P&amp;L'!$B$11:$B$106,Check!O37)))</f>
        <v>-150</v>
      </c>
      <c r="R37" s="212">
        <f t="shared" si="1"/>
        <v>9</v>
      </c>
      <c r="S37" s="355">
        <f t="shared" si="2"/>
        <v>0.94</v>
      </c>
      <c r="V37" s="13"/>
    </row>
    <row r="38" spans="1:22">
      <c r="B38" t="s">
        <v>2384</v>
      </c>
      <c r="C38" s="228">
        <f>IF(B38="","",IF(LEN(B38)&gt;9,SUMIFS(Options!$H$3:$H$32,Options!$B$3:$B$32,Check!B38),SUMIFS('Master P&amp;L'!$H$11:$H$106,'Master P&amp;L'!$B$11:$B$106,Check!B38)))</f>
        <v>150</v>
      </c>
      <c r="D38" s="228">
        <f>IF(B38="","",SUMIFS(Input_APM!N:N,Input_APM!L:L,Check!B38,Input_APM!M:M,Check!$F$1))</f>
        <v>142</v>
      </c>
      <c r="E38" s="212">
        <f t="shared" si="5"/>
        <v>0</v>
      </c>
      <c r="F38" s="228">
        <f>IF(B38="","",SUMIFS(Input_APM!N:N,Input_APM!M:M,Check!$F$1,Input_APM!L:L,Check!B38))</f>
        <v>142</v>
      </c>
      <c r="G38" s="228">
        <f>IF(B38="","",SUMIFS(Input_APM!N:N,Input_APM!M:M,Check!$G$1,Input_APM!L:L,Check!B38))</f>
        <v>0</v>
      </c>
      <c r="H38" s="212">
        <f t="shared" si="0"/>
        <v>142</v>
      </c>
      <c r="I38" s="212">
        <f>SUMIFS(Input_APM!N:N,Input_APM!L:L,Check!B38)</f>
        <v>142</v>
      </c>
      <c r="J38" s="214">
        <f t="shared" si="3"/>
        <v>0</v>
      </c>
      <c r="K38" s="21">
        <f>IF(B38="","",SUMIFS('Input_APM (Zenith)'!N:N,'Input_APM (Zenith)'!L:L,Check!B38,'Input_APM (Zenith)'!M:M,Check!$F$1))</f>
        <v>8</v>
      </c>
      <c r="L38" s="21">
        <f>IF(B38="","",SUMIFS('Input_APM (Zenith)'!N:N,'Input_APM (Zenith)'!L:L,Check!B38,'Input_APM (Zenith)'!M:M,Check!$G$1))</f>
        <v>0</v>
      </c>
      <c r="M38" s="234">
        <f t="shared" si="4"/>
        <v>150</v>
      </c>
      <c r="O38" t="s">
        <v>2323</v>
      </c>
      <c r="P38" s="212">
        <f>IF(O38="","",IF(OR(LEFT(O38,4)="Cash",LEFT(O38,4)="Prov"),0,SUMIFS(Input_APM!N:N,Input_APM!L:L,Check!O38)))</f>
        <v>-141</v>
      </c>
      <c r="Q38" s="21">
        <f>IF(O38="","",IF(LEN(O38)&gt;9,SUMIFS(Options!$H$3:$H$32,Options!$B$3:$B$32,Check!O38),SUMIFS('Master P&amp;L'!$H$11:$H$106,'Master P&amp;L'!$B$11:$B$106,Check!O38)))</f>
        <v>-50</v>
      </c>
      <c r="R38" s="212">
        <f t="shared" si="1"/>
        <v>-91</v>
      </c>
      <c r="S38" s="355">
        <f t="shared" si="2"/>
        <v>2.82</v>
      </c>
      <c r="V38" s="13"/>
    </row>
    <row r="39" spans="1:22">
      <c r="B39" t="s">
        <v>2282</v>
      </c>
      <c r="C39" s="228">
        <f>IF(B39="","",IF(LEN(B39)&gt;9,SUMIFS(Options!$H$3:$H$32,Options!$B$3:$B$32,Check!B39),SUMIFS('Master P&amp;L'!$H$11:$H$106,'Master P&amp;L'!$B$11:$B$106,Check!B39)))</f>
        <v>60</v>
      </c>
      <c r="D39" s="228">
        <f>IF(B39="","",SUMIFS(Input_APM!N:N,Input_APM!L:L,Check!B39,Input_APM!M:M,Check!$F$1))</f>
        <v>56</v>
      </c>
      <c r="E39" s="212">
        <f t="shared" si="5"/>
        <v>0</v>
      </c>
      <c r="F39" s="228">
        <f>IF(B39="","",SUMIFS(Input_APM!N:N,Input_APM!M:M,Check!$F$1,Input_APM!L:L,Check!B39))</f>
        <v>56</v>
      </c>
      <c r="G39" s="228">
        <f>IF(B39="","",SUMIFS(Input_APM!N:N,Input_APM!M:M,Check!$G$1,Input_APM!L:L,Check!B39))</f>
        <v>0</v>
      </c>
      <c r="H39" s="212">
        <f t="shared" si="0"/>
        <v>56</v>
      </c>
      <c r="I39" s="212">
        <f>SUMIFS(Input_APM!N:N,Input_APM!L:L,Check!B39)</f>
        <v>56</v>
      </c>
      <c r="J39" s="214">
        <f t="shared" si="3"/>
        <v>0</v>
      </c>
      <c r="K39" s="21">
        <f>IF(B39="","",SUMIFS('Input_APM (Zenith)'!N:N,'Input_APM (Zenith)'!L:L,Check!B39,'Input_APM (Zenith)'!M:M,Check!$F$1))</f>
        <v>4</v>
      </c>
      <c r="L39" s="21">
        <f>IF(B39="","",SUMIFS('Input_APM (Zenith)'!N:N,'Input_APM (Zenith)'!L:L,Check!B39,'Input_APM (Zenith)'!M:M,Check!$G$1))</f>
        <v>0</v>
      </c>
      <c r="M39" s="234">
        <f t="shared" si="4"/>
        <v>60</v>
      </c>
      <c r="O39" t="s">
        <v>2261</v>
      </c>
      <c r="P39" s="212">
        <f>IF(O39="","",IF(OR(LEFT(O39,4)="Cash",LEFT(O39,4)="Prov"),0,SUMIFS(Input_APM!N:N,Input_APM!L:L,Check!O39)))</f>
        <v>-10782</v>
      </c>
      <c r="Q39" s="21">
        <f>IF(O39="","",IF(LEN(O39)&gt;9,SUMIFS(Options!$H$3:$H$32,Options!$B$3:$B$32,Check!O39),SUMIFS('Master P&amp;L'!$H$11:$H$106,'Master P&amp;L'!$B$11:$B$106,Check!O39)))</f>
        <v>-11500</v>
      </c>
      <c r="R39" s="212">
        <f t="shared" si="1"/>
        <v>718</v>
      </c>
      <c r="S39" s="355">
        <f t="shared" si="2"/>
        <v>0.93756521739130438</v>
      </c>
      <c r="V39" s="13"/>
    </row>
    <row r="40" spans="1:22">
      <c r="B40" t="s">
        <v>2444</v>
      </c>
      <c r="C40" s="228">
        <f>IF(B40="","",IF(LEN(B40)&gt;9,SUMIFS(Options!$H$3:$H$32,Options!$B$3:$B$32,Check!B40),SUMIFS('Master P&amp;L'!$H$11:$H$106,'Master P&amp;L'!$B$11:$B$106,Check!B40)))</f>
        <v>135</v>
      </c>
      <c r="D40" s="228">
        <f>IF(B40="","",SUMIFS(Input_APM!N:N,Input_APM!L:L,Check!B40,Input_APM!M:M,Check!$F$1))</f>
        <v>128</v>
      </c>
      <c r="E40" s="214">
        <f t="shared" si="5"/>
        <v>0</v>
      </c>
      <c r="F40" s="228">
        <f>IF(B40="","",SUMIFS(Input_APM!N:N,Input_APM!M:M,Check!$F$1,Input_APM!L:L,Check!B40))</f>
        <v>128</v>
      </c>
      <c r="G40" s="228">
        <f>IF(B40="","",SUMIFS(Input_APM!N:N,Input_APM!M:M,Check!$G$1,Input_APM!L:L,Check!B40))</f>
        <v>0</v>
      </c>
      <c r="H40" s="212">
        <f t="shared" si="0"/>
        <v>128</v>
      </c>
      <c r="I40" s="212">
        <f>SUMIFS(Input_APM!N:N,Input_APM!L:L,Check!B40)</f>
        <v>128</v>
      </c>
      <c r="J40" s="214">
        <f t="shared" si="3"/>
        <v>0</v>
      </c>
      <c r="K40" s="21">
        <f>IF(B40="","",SUMIFS('Input_APM (Zenith)'!N:N,'Input_APM (Zenith)'!L:L,Check!B40,'Input_APM (Zenith)'!M:M,Check!$F$1))</f>
        <v>7</v>
      </c>
      <c r="L40" s="21">
        <f>IF(B40="","",SUMIFS('Input_APM (Zenith)'!N:N,'Input_APM (Zenith)'!L:L,Check!B40,'Input_APM (Zenith)'!M:M,Check!$G$1))</f>
        <v>0</v>
      </c>
      <c r="M40" s="234">
        <f t="shared" si="4"/>
        <v>135</v>
      </c>
      <c r="O40" t="s">
        <v>2298</v>
      </c>
      <c r="P40" s="212">
        <f>IF(O40="","",IF(OR(LEFT(O40,4)="Cash",LEFT(O40,4)="Prov"),0,SUMIFS(Input_APM!N:N,Input_APM!L:L,Check!O40)))</f>
        <v>10349446</v>
      </c>
      <c r="Q40" s="21">
        <f>IF(O40="","",IF(LEN(O40)&gt;9,SUMIFS(Options!$H$3:$H$32,Options!$B$3:$B$32,Check!O40),SUMIFS('Master P&amp;L'!$H$11:$H$106,'Master P&amp;L'!$B$11:$B$106,Check!O40)))</f>
        <v>0</v>
      </c>
      <c r="R40" s="212">
        <f t="shared" si="1"/>
        <v>10349446</v>
      </c>
      <c r="S40" s="355" t="str">
        <f t="shared" si="2"/>
        <v>Erro</v>
      </c>
      <c r="V40" s="13"/>
    </row>
    <row r="41" spans="1:22">
      <c r="B41" t="s">
        <v>2398</v>
      </c>
      <c r="C41" s="228">
        <f>IF(B41="","",IF(LEN(B41)&gt;9,SUMIFS(Options!$H$3:$H$32,Options!$B$3:$B$32,Check!B41),SUMIFS('Master P&amp;L'!$H$11:$H$106,'Master P&amp;L'!$B$11:$B$106,Check!B41)))</f>
        <v>0</v>
      </c>
      <c r="D41" s="228">
        <f>IF(B41="","",SUMIFS(Input_APM!N:N,Input_APM!L:L,Check!B41,Input_APM!M:M,Check!$F$1))</f>
        <v>0</v>
      </c>
      <c r="E41" s="212">
        <f t="shared" si="5"/>
        <v>0</v>
      </c>
      <c r="F41" s="228">
        <f>IF(B41="","",SUMIFS(Input_APM!N:N,Input_APM!M:M,Check!$F$1,Input_APM!L:L,Check!B41))</f>
        <v>0</v>
      </c>
      <c r="G41" s="228">
        <f>IF(B41="","",SUMIFS(Input_APM!N:N,Input_APM!M:M,Check!$G$1,Input_APM!L:L,Check!B41))</f>
        <v>0</v>
      </c>
      <c r="H41" s="212">
        <f t="shared" si="0"/>
        <v>0</v>
      </c>
      <c r="I41" s="212">
        <f>SUMIFS(Input_APM!N:N,Input_APM!L:L,Check!B41)</f>
        <v>0</v>
      </c>
      <c r="J41" s="214">
        <f t="shared" si="3"/>
        <v>0</v>
      </c>
      <c r="K41" s="21">
        <f>IF(B41="","",SUMIFS('Input_APM (Zenith)'!N:N,'Input_APM (Zenith)'!L:L,Check!B41,'Input_APM (Zenith)'!M:M,Check!$F$1))</f>
        <v>0</v>
      </c>
      <c r="L41" s="21">
        <f>IF(B41="","",SUMIFS('Input_APM (Zenith)'!N:N,'Input_APM (Zenith)'!L:L,Check!B41,'Input_APM (Zenith)'!M:M,Check!$G$1))</f>
        <v>0</v>
      </c>
      <c r="M41" s="234">
        <f t="shared" si="4"/>
        <v>0</v>
      </c>
      <c r="O41" t="s">
        <v>2063</v>
      </c>
      <c r="P41" s="212">
        <f>IF(O41="","",IF(OR(LEFT(O41,4)="Cash",LEFT(O41,4)="Prov"),0,SUMIFS(Input_APM!N:N,Input_APM!L:L,Check!O41)))</f>
        <v>0</v>
      </c>
      <c r="Q41" s="21">
        <f>IF(O41="","",IF(LEN(O41)&gt;9,SUMIFS(Options!$H$3:$H$32,Options!$B$3:$B$32,Check!O41),SUMIFS('Master P&amp;L'!$H$11:$H$106,'Master P&amp;L'!$B$11:$B$106,Check!O41)))</f>
        <v>3600</v>
      </c>
      <c r="R41" s="212">
        <f t="shared" si="1"/>
        <v>-3600</v>
      </c>
      <c r="S41" s="355" t="str">
        <f t="shared" si="2"/>
        <v>Erro</v>
      </c>
      <c r="V41" s="13"/>
    </row>
    <row r="42" spans="1:22">
      <c r="B42" t="s">
        <v>2094</v>
      </c>
      <c r="C42" s="228">
        <f>IF(B42="","",IF(LEN(B42)&gt;9,SUMIFS(Options!$H$3:$H$32,Options!$B$3:$B$32,Check!B42),SUMIFS('Master P&amp;L'!$H$11:$H$106,'Master P&amp;L'!$B$11:$B$106,Check!B42)))</f>
        <v>200</v>
      </c>
      <c r="D42" s="228">
        <f>IF(B42="","",SUMIFS(Input_APM!N:N,Input_APM!L:L,Check!B42,Input_APM!M:M,Check!$F$1))</f>
        <v>186</v>
      </c>
      <c r="E42" s="214">
        <f t="shared" si="5"/>
        <v>0</v>
      </c>
      <c r="F42" s="228">
        <f>IF(B42="","",SUMIFS(Input_APM!N:N,Input_APM!M:M,Check!$F$1,Input_APM!L:L,Check!B42))</f>
        <v>186</v>
      </c>
      <c r="G42" s="228">
        <f>IF(B42="","",SUMIFS(Input_APM!N:N,Input_APM!M:M,Check!$G$1,Input_APM!L:L,Check!B42))</f>
        <v>0</v>
      </c>
      <c r="H42" s="212">
        <f t="shared" si="0"/>
        <v>186</v>
      </c>
      <c r="I42" s="212">
        <f>SUMIFS(Input_APM!N:N,Input_APM!L:L,Check!B42)</f>
        <v>186</v>
      </c>
      <c r="J42" s="214">
        <f t="shared" si="3"/>
        <v>0</v>
      </c>
      <c r="K42" s="21">
        <f>IF(B42="","",SUMIFS('Input_APM (Zenith)'!N:N,'Input_APM (Zenith)'!L:L,Check!B42,'Input_APM (Zenith)'!M:M,Check!$F$1))</f>
        <v>14</v>
      </c>
      <c r="L42" s="21">
        <f>IF(B42="","",SUMIFS('Input_APM (Zenith)'!N:N,'Input_APM (Zenith)'!L:L,Check!B42,'Input_APM (Zenith)'!M:M,Check!$G$1))</f>
        <v>0</v>
      </c>
      <c r="M42" s="234">
        <f t="shared" si="4"/>
        <v>200</v>
      </c>
      <c r="O42" t="s">
        <v>2282</v>
      </c>
      <c r="P42" s="212">
        <f>IF(O42="","",IF(OR(LEFT(O42,4)="Cash",LEFT(O42,4)="Prov"),0,SUMIFS(Input_APM!N:N,Input_APM!L:L,Check!O42)))</f>
        <v>56</v>
      </c>
      <c r="Q42" s="21">
        <f>IF(O42="","",IF(LEN(O42)&gt;9,SUMIFS(Options!$H$3:$H$32,Options!$B$3:$B$32,Check!O42),SUMIFS('Master P&amp;L'!$H$11:$H$106,'Master P&amp;L'!$B$11:$B$106,Check!O42)))</f>
        <v>60</v>
      </c>
      <c r="R42" s="212">
        <f t="shared" si="1"/>
        <v>-4</v>
      </c>
      <c r="S42" s="355">
        <f t="shared" si="2"/>
        <v>0.93333333333333335</v>
      </c>
      <c r="V42" s="13"/>
    </row>
    <row r="43" spans="1:22">
      <c r="A43" t="s">
        <v>1770</v>
      </c>
      <c r="B43" t="s">
        <v>2095</v>
      </c>
      <c r="C43" s="228">
        <f>IF(B43="","",IF(LEN(B43)&gt;9,SUMIFS(Options!$H$3:$H$32,Options!$B$3:$B$32,Check!B43),SUMIFS('Master P&amp;L'!$H$11:$H$106,'Master P&amp;L'!$B$11:$B$106,Check!B43)))</f>
        <v>-200</v>
      </c>
      <c r="D43" s="228">
        <f>IF(B43="","",SUMIFS(Input_APM!N:N,Input_APM!L:L,Check!B43,Input_APM!M:M,Check!$F$1))</f>
        <v>-188</v>
      </c>
      <c r="E43" s="212">
        <f t="shared" si="5"/>
        <v>0</v>
      </c>
      <c r="F43" s="228">
        <f>IF(B43="","",SUMIFS(Input_APM!N:N,Input_APM!M:M,Check!$F$1,Input_APM!L:L,Check!B43))</f>
        <v>-188</v>
      </c>
      <c r="G43" s="228">
        <f>IF(B43="","",SUMIFS(Input_APM!N:N,Input_APM!M:M,Check!$G$1,Input_APM!L:L,Check!B43))</f>
        <v>0</v>
      </c>
      <c r="H43" s="212">
        <f t="shared" si="0"/>
        <v>-188</v>
      </c>
      <c r="I43" s="212">
        <f>SUMIFS(Input_APM!N:N,Input_APM!L:L,Check!B43)</f>
        <v>-188</v>
      </c>
      <c r="J43" s="214">
        <f t="shared" si="3"/>
        <v>0</v>
      </c>
      <c r="K43" s="21">
        <f>IF(B43="","",SUMIFS('Input_APM (Zenith)'!N:N,'Input_APM (Zenith)'!L:L,Check!B43,'Input_APM (Zenith)'!M:M,Check!$F$1))</f>
        <v>-12</v>
      </c>
      <c r="L43" s="21">
        <f>IF(B43="","",SUMIFS('Input_APM (Zenith)'!N:N,'Input_APM (Zenith)'!L:L,Check!B43,'Input_APM (Zenith)'!M:M,Check!$G$1))</f>
        <v>0</v>
      </c>
      <c r="M43" s="212">
        <f t="shared" si="4"/>
        <v>-200</v>
      </c>
      <c r="O43" t="s">
        <v>2400</v>
      </c>
      <c r="P43" s="212">
        <f>IF(O43="","",IF(OR(LEFT(O43,4)="Cash",LEFT(O43,4)="Prov"),0,SUMIFS(Input_APM!N:N,Input_APM!L:L,Check!O43)))</f>
        <v>-9372000</v>
      </c>
      <c r="Q43" s="21">
        <f>IF(O43="","",IF(LEN(O43)&gt;9,SUMIFS(Options!$H$3:$H$32,Options!$B$3:$B$32,Check!O43),SUMIFS('Master P&amp;L'!$H$11:$H$106,'Master P&amp;L'!$B$11:$B$106,Check!O43)))</f>
        <v>0</v>
      </c>
      <c r="R43" s="212">
        <f t="shared" si="1"/>
        <v>-9372000</v>
      </c>
      <c r="S43" s="355" t="str">
        <f t="shared" si="2"/>
        <v>Erro</v>
      </c>
      <c r="V43" s="13"/>
    </row>
    <row r="44" spans="1:22">
      <c r="B44" t="s">
        <v>2058</v>
      </c>
      <c r="C44" s="228">
        <f>IF(B44="","",IF(LEN(B44)&gt;9,SUMIFS(Options!$H$3:$H$32,Options!$B$3:$B$32,Check!B44),SUMIFS('Master P&amp;L'!$H$11:$H$106,'Master P&amp;L'!$B$11:$B$106,Check!B44)))</f>
        <v>150</v>
      </c>
      <c r="D44" s="228">
        <f>IF(B44="","",SUMIFS(Input_APM!N:N,Input_APM!L:L,Check!B44,Input_APM!M:M,Check!$F$1))</f>
        <v>141</v>
      </c>
      <c r="E44" s="212">
        <f>IF(B44="","",C44-M44)</f>
        <v>0</v>
      </c>
      <c r="F44" s="228">
        <f>IF(B44="","",SUMIFS(Input_APM!N:N,Input_APM!M:M,Check!$F$1,Input_APM!L:L,Check!B44))</f>
        <v>141</v>
      </c>
      <c r="G44" s="228">
        <f>IF(B44="","",SUMIFS(Input_APM!N:N,Input_APM!M:M,Check!$G$1,Input_APM!L:L,Check!B44))</f>
        <v>0</v>
      </c>
      <c r="H44" s="212">
        <f t="shared" si="0"/>
        <v>141</v>
      </c>
      <c r="I44" s="212">
        <f>SUMIFS(Input_APM!N:N,Input_APM!L:L,Check!B44)</f>
        <v>141</v>
      </c>
      <c r="J44" s="214">
        <f t="shared" si="3"/>
        <v>0</v>
      </c>
      <c r="K44" s="21">
        <f>IF(B44="","",SUMIFS('Input_APM (Zenith)'!N:N,'Input_APM (Zenith)'!L:L,Check!B44,'Input_APM (Zenith)'!M:M,Check!$F$1))</f>
        <v>9</v>
      </c>
      <c r="L44" s="21">
        <f>IF(B44="","",SUMIFS('Input_APM (Zenith)'!N:N,'Input_APM (Zenith)'!L:L,Check!B44,'Input_APM (Zenith)'!M:M,Check!$G$1))</f>
        <v>0</v>
      </c>
      <c r="M44" s="212">
        <f t="shared" si="4"/>
        <v>150</v>
      </c>
      <c r="O44" t="s">
        <v>81</v>
      </c>
      <c r="P44" s="212">
        <f>IF(O44="","",IF(OR(LEFT(O44,4)="Cash",LEFT(O44,4)="Prov"),0,SUMIFS(Input_APM!N:N,Input_APM!L:L,Check!O44)))</f>
        <v>5403</v>
      </c>
      <c r="Q44" s="21">
        <f>IF(O44="","",IF(LEN(O44)&gt;9,SUMIFS(Options!$H$3:$H$32,Options!$B$3:$B$32,Check!O44),SUMIFS('Master P&amp;L'!$H$11:$H$106,'Master P&amp;L'!$B$11:$B$106,Check!O44)))</f>
        <v>4450</v>
      </c>
      <c r="R44" s="212">
        <f t="shared" si="1"/>
        <v>953</v>
      </c>
      <c r="S44" s="355">
        <f t="shared" si="2"/>
        <v>1.2141573033707864</v>
      </c>
      <c r="V44" s="13"/>
    </row>
    <row r="45" spans="1:22">
      <c r="B45" t="s">
        <v>2270</v>
      </c>
      <c r="C45" s="228">
        <f>IF(B45="","",IF(LEN(B45)&gt;9,SUMIFS(Options!$H$3:$H$32,Options!$B$3:$B$32,Check!B45),SUMIFS('Master P&amp;L'!$H$11:$H$106,'Master P&amp;L'!$B$11:$B$106,Check!B45)))</f>
        <v>300</v>
      </c>
      <c r="D45" s="228">
        <f>IF(B45="","",SUMIFS(Input_APM!N:N,Input_APM!L:L,Check!B45,Input_APM!M:M,Check!$F$1))</f>
        <v>-141</v>
      </c>
      <c r="E45" s="212">
        <f t="shared" si="5"/>
        <v>450</v>
      </c>
      <c r="F45" s="228">
        <f>IF(B45="","",SUMIFS(Input_APM!N:N,Input_APM!M:M,Check!$F$1,Input_APM!L:L,Check!B45))</f>
        <v>-141</v>
      </c>
      <c r="G45" s="228">
        <f>IF(B45="","",SUMIFS(Input_APM!N:N,Input_APM!M:M,Check!$G$1,Input_APM!L:L,Check!B45))</f>
        <v>0</v>
      </c>
      <c r="H45" s="212">
        <f t="shared" si="0"/>
        <v>-141</v>
      </c>
      <c r="I45" s="212">
        <f>SUMIFS(Input_APM!N:N,Input_APM!L:L,Check!B45)</f>
        <v>-141</v>
      </c>
      <c r="J45" s="214">
        <f t="shared" si="3"/>
        <v>0</v>
      </c>
      <c r="K45" s="21">
        <f>IF(B45="","",SUMIFS('Input_APM (Zenith)'!N:N,'Input_APM (Zenith)'!L:L,Check!B45,'Input_APM (Zenith)'!M:M,Check!$F$1))</f>
        <v>-9</v>
      </c>
      <c r="L45" s="21">
        <f>IF(B45="","",SUMIFS('Input_APM (Zenith)'!N:N,'Input_APM (Zenith)'!L:L,Check!B45,'Input_APM (Zenith)'!M:M,Check!$G$1))</f>
        <v>0</v>
      </c>
      <c r="M45" s="212">
        <f t="shared" si="4"/>
        <v>-150</v>
      </c>
      <c r="O45" t="s">
        <v>2068</v>
      </c>
      <c r="P45" s="212">
        <f>IF(O45="","",IF(OR(LEFT(O45,4)="Cash",LEFT(O45,4)="Prov"),0,SUMIFS(Input_APM!N:N,Input_APM!L:L,Check!O45)))</f>
        <v>0</v>
      </c>
      <c r="Q45" s="21">
        <f>IF(O45="","",IF(LEN(O45)&gt;9,SUMIFS(Options!$H$3:$H$32,Options!$B$3:$B$32,Check!O45),SUMIFS('Master P&amp;L'!$H$11:$H$106,'Master P&amp;L'!$B$11:$B$106,Check!O45)))</f>
        <v>0</v>
      </c>
      <c r="R45" s="212">
        <f t="shared" si="1"/>
        <v>0</v>
      </c>
      <c r="S45" s="355" t="str">
        <f t="shared" si="2"/>
        <v>Ok</v>
      </c>
      <c r="V45" s="13"/>
    </row>
    <row r="46" spans="1:22">
      <c r="B46" t="s">
        <v>2445</v>
      </c>
      <c r="C46" s="228">
        <f>IF(B46="","",IF(LEN(B46)&gt;9,SUMIFS(Options!$H$3:$H$32,Options!$B$3:$B$32,Check!B46),SUMIFS('Master P&amp;L'!$H$11:$H$106,'Master P&amp;L'!$B$11:$B$106,Check!B46)))</f>
        <v>350</v>
      </c>
      <c r="D46" s="228">
        <f>IF(B46="","",SUMIFS(Input_APM!N:N,Input_APM!L:L,Check!B46,Input_APM!M:M,Check!$F$1))</f>
        <v>329</v>
      </c>
      <c r="E46" s="214">
        <f t="shared" si="5"/>
        <v>0</v>
      </c>
      <c r="F46" s="228">
        <f>IF(B46="","",SUMIFS(Input_APM!N:N,Input_APM!M:M,Check!$F$1,Input_APM!L:L,Check!B46))</f>
        <v>329</v>
      </c>
      <c r="G46" s="228">
        <f>IF(B46="","",SUMIFS(Input_APM!N:N,Input_APM!M:M,Check!$G$1,Input_APM!L:L,Check!B46))</f>
        <v>0</v>
      </c>
      <c r="H46" s="212">
        <f t="shared" si="0"/>
        <v>329</v>
      </c>
      <c r="I46" s="212">
        <f>SUMIFS(Input_APM!N:N,Input_APM!L:L,Check!B46)</f>
        <v>329</v>
      </c>
      <c r="J46" s="214">
        <f t="shared" si="3"/>
        <v>0</v>
      </c>
      <c r="K46" s="21">
        <f>IF(B46="","",SUMIFS('Input_APM (Zenith)'!N:N,'Input_APM (Zenith)'!L:L,Check!B46,'Input_APM (Zenith)'!M:M,Check!$F$1))</f>
        <v>21</v>
      </c>
      <c r="L46" s="21">
        <f>IF(B46="","",SUMIFS('Input_APM (Zenith)'!N:N,'Input_APM (Zenith)'!L:L,Check!B46,'Input_APM (Zenith)'!M:M,Check!$G$1))</f>
        <v>0</v>
      </c>
      <c r="M46" s="212">
        <f t="shared" si="4"/>
        <v>350</v>
      </c>
      <c r="O46" t="s">
        <v>2398</v>
      </c>
      <c r="P46" s="212">
        <f>IF(O46="","",IF(OR(LEFT(O46,4)="Cash",LEFT(O46,4)="Prov"),0,SUMIFS(Input_APM!N:N,Input_APM!L:L,Check!O46)))</f>
        <v>0</v>
      </c>
      <c r="Q46" s="21">
        <f>IF(O46="","",IF(LEN(O46)&gt;9,SUMIFS(Options!$H$3:$H$32,Options!$B$3:$B$32,Check!O46),SUMIFS('Master P&amp;L'!$H$11:$H$106,'Master P&amp;L'!$B$11:$B$106,Check!O46)))</f>
        <v>0</v>
      </c>
      <c r="R46" s="212">
        <f t="shared" si="1"/>
        <v>0</v>
      </c>
      <c r="S46" s="355" t="str">
        <f t="shared" si="2"/>
        <v>Ok</v>
      </c>
      <c r="V46" s="13"/>
    </row>
    <row r="47" spans="1:22">
      <c r="B47" t="s">
        <v>2446</v>
      </c>
      <c r="C47" s="228">
        <f>IF(B47="","",IF(LEN(B47)&gt;9,SUMIFS(Options!$H$3:$H$32,Options!$B$3:$B$32,Check!B47),SUMIFS('Master P&amp;L'!$H$11:$H$106,'Master P&amp;L'!$B$11:$B$106,Check!B47)))</f>
        <v>-350</v>
      </c>
      <c r="D47" s="228">
        <f>IF(B47="","",SUMIFS(Input_APM!N:N,Input_APM!L:L,Check!B47,Input_APM!M:M,Check!$F$1))</f>
        <v>-329</v>
      </c>
      <c r="E47" s="214">
        <f t="shared" si="5"/>
        <v>0</v>
      </c>
      <c r="F47" s="228">
        <f>IF(B47="","",SUMIFS(Input_APM!N:N,Input_APM!M:M,Check!$F$1,Input_APM!L:L,Check!B47))</f>
        <v>-329</v>
      </c>
      <c r="G47" s="228">
        <f>IF(B47="","",SUMIFS(Input_APM!N:N,Input_APM!M:M,Check!$G$1,Input_APM!L:L,Check!B47))</f>
        <v>0</v>
      </c>
      <c r="H47" s="212">
        <f t="shared" si="0"/>
        <v>-329</v>
      </c>
      <c r="I47" s="212">
        <f>SUMIFS(Input_APM!N:N,Input_APM!L:L,Check!B47)</f>
        <v>-329</v>
      </c>
      <c r="J47" s="214">
        <f t="shared" si="3"/>
        <v>0</v>
      </c>
      <c r="K47" s="21">
        <f>IF(B47="","",SUMIFS('Input_APM (Zenith)'!N:N,'Input_APM (Zenith)'!L:L,Check!B47,'Input_APM (Zenith)'!M:M,Check!$F$1))</f>
        <v>-21</v>
      </c>
      <c r="L47" s="21">
        <f>IF(B47="","",SUMIFS('Input_APM (Zenith)'!N:N,'Input_APM (Zenith)'!L:L,Check!B47,'Input_APM (Zenith)'!M:M,Check!$G$1))</f>
        <v>0</v>
      </c>
      <c r="M47" s="212">
        <f t="shared" si="4"/>
        <v>-350</v>
      </c>
      <c r="O47" t="s">
        <v>2444</v>
      </c>
      <c r="P47" s="212">
        <f>IF(O47="","",IF(OR(LEFT(O47,4)="Cash",LEFT(O47,4)="Prov"),0,SUMIFS(Input_APM!N:N,Input_APM!L:L,Check!O47)))</f>
        <v>128</v>
      </c>
      <c r="Q47" s="21">
        <f>IF(O47="","",IF(LEN(O47)&gt;9,SUMIFS(Options!$H$3:$H$32,Options!$B$3:$B$32,Check!O47),SUMIFS('Master P&amp;L'!$H$11:$H$106,'Master P&amp;L'!$B$11:$B$106,Check!O47)))</f>
        <v>135</v>
      </c>
      <c r="R47" s="212">
        <f t="shared" si="1"/>
        <v>-7</v>
      </c>
      <c r="S47" s="355">
        <f t="shared" si="2"/>
        <v>0.94814814814814818</v>
      </c>
    </row>
    <row r="48" spans="1:22">
      <c r="B48" t="s">
        <v>2325</v>
      </c>
      <c r="C48" s="228">
        <f>IF(B48="","",IF(LEN(B48)&gt;9,SUMIFS(Options!$H$3:$H$32,Options!$B$3:$B$32,Check!B48),SUMIFS('Master P&amp;L'!$H$11:$H$106,'Master P&amp;L'!$B$11:$B$106,Check!B48)))</f>
        <v>-150</v>
      </c>
      <c r="D48" s="228">
        <f>IF(B48="","",SUMIFS(Input_APM!N:N,Input_APM!L:L,Check!B48,Input_APM!M:M,Check!$F$1))</f>
        <v>-141</v>
      </c>
      <c r="E48" s="214">
        <f t="shared" si="5"/>
        <v>0</v>
      </c>
      <c r="F48" s="228">
        <f>IF(B48="","",SUMIFS(Input_APM!N:N,Input_APM!M:M,Check!$F$1,Input_APM!L:L,Check!B48))</f>
        <v>-141</v>
      </c>
      <c r="G48" s="228">
        <f>IF(B48="","",SUMIFS(Input_APM!N:N,Input_APM!M:M,Check!$G$1,Input_APM!L:L,Check!B48))</f>
        <v>0</v>
      </c>
      <c r="H48" s="212">
        <f t="shared" si="0"/>
        <v>-141</v>
      </c>
      <c r="I48" s="212">
        <f>SUMIFS(Input_APM!N:N,Input_APM!L:L,Check!B48)</f>
        <v>-141</v>
      </c>
      <c r="J48" s="214">
        <f t="shared" si="3"/>
        <v>0</v>
      </c>
      <c r="K48" s="21">
        <f>IF(B48="","",SUMIFS('Input_APM (Zenith)'!N:N,'Input_APM (Zenith)'!L:L,Check!B48,'Input_APM (Zenith)'!M:M,Check!$F$1))</f>
        <v>-9</v>
      </c>
      <c r="L48" s="21">
        <f>IF(B48="","",SUMIFS('Input_APM (Zenith)'!N:N,'Input_APM (Zenith)'!L:L,Check!B48,'Input_APM (Zenith)'!M:M,Check!$G$1))</f>
        <v>0</v>
      </c>
      <c r="M48" s="212">
        <f t="shared" si="4"/>
        <v>-150</v>
      </c>
      <c r="O48" t="s">
        <v>138</v>
      </c>
      <c r="P48" s="212">
        <f>IF(O48="","",IF(OR(LEFT(O48,4)="Cash",LEFT(O48,4)="Prov"),0,SUMIFS(Input_APM!N:N,Input_APM!L:L,Check!O48)))</f>
        <v>2771</v>
      </c>
      <c r="Q48" s="21">
        <f>IF(O48="","",IF(LEN(O48)&gt;9,SUMIFS(Options!$H$3:$H$32,Options!$B$3:$B$32,Check!O48),SUMIFS('Master P&amp;L'!$H$11:$H$106,'Master P&amp;L'!$B$11:$B$106,Check!O48)))</f>
        <v>0</v>
      </c>
      <c r="R48" s="212">
        <f t="shared" si="1"/>
        <v>2771</v>
      </c>
      <c r="S48" s="355" t="str">
        <f t="shared" si="2"/>
        <v>Erro</v>
      </c>
    </row>
    <row r="49" spans="1:19">
      <c r="B49" t="s">
        <v>2324</v>
      </c>
      <c r="C49" s="228">
        <f>IF(B49="","",IF(LEN(B49)&gt;9,SUMIFS(Options!$H$3:$H$32,Options!$B$3:$B$32,Check!B49),SUMIFS('Master P&amp;L'!$H$11:$H$106,'Master P&amp;L'!$B$11:$B$106,Check!B49)))</f>
        <v>275</v>
      </c>
      <c r="D49" s="228">
        <f>IF(B49="","",SUMIFS(Input_APM!N:N,Input_APM!L:L,Check!B49,Input_APM!M:M,Check!$F$1))</f>
        <v>260</v>
      </c>
      <c r="E49" s="214">
        <f t="shared" si="5"/>
        <v>0</v>
      </c>
      <c r="F49" s="228">
        <f>IF(B49="","",SUMIFS(Input_APM!N:N,Input_APM!M:M,Check!$F$1,Input_APM!L:L,Check!B49))</f>
        <v>260</v>
      </c>
      <c r="G49" s="228">
        <f>IF(B49="","",SUMIFS(Input_APM!N:N,Input_APM!M:M,Check!$G$1,Input_APM!L:L,Check!B49))</f>
        <v>0</v>
      </c>
      <c r="H49" s="212">
        <f t="shared" si="0"/>
        <v>260</v>
      </c>
      <c r="I49" s="212">
        <f>SUMIFS(Input_APM!N:N,Input_APM!L:L,Check!B49)</f>
        <v>260</v>
      </c>
      <c r="J49" s="214">
        <f t="shared" si="3"/>
        <v>0</v>
      </c>
      <c r="K49" s="21">
        <f>IF(B49="","",SUMIFS('Input_APM (Zenith)'!N:N,'Input_APM (Zenith)'!L:L,Check!B49,'Input_APM (Zenith)'!M:M,Check!$F$1))</f>
        <v>15</v>
      </c>
      <c r="L49" s="21">
        <f>IF(B49="","",SUMIFS('Input_APM (Zenith)'!N:N,'Input_APM (Zenith)'!L:L,Check!B49,'Input_APM (Zenith)'!M:M,Check!$G$1))</f>
        <v>0</v>
      </c>
      <c r="M49" s="212">
        <f t="shared" si="4"/>
        <v>275</v>
      </c>
      <c r="O49" t="s">
        <v>2270</v>
      </c>
      <c r="P49" s="212">
        <f>IF(O49="","",IF(OR(LEFT(O49,4)="Cash",LEFT(O49,4)="Prov"),0,SUMIFS(Input_APM!N:N,Input_APM!L:L,Check!O49)))</f>
        <v>-141</v>
      </c>
      <c r="Q49" s="21">
        <f>IF(O49="","",IF(LEN(O49)&gt;9,SUMIFS(Options!$H$3:$H$32,Options!$B$3:$B$32,Check!O49),SUMIFS('Master P&amp;L'!$H$11:$H$106,'Master P&amp;L'!$B$11:$B$106,Check!O49)))</f>
        <v>300</v>
      </c>
      <c r="R49" s="212">
        <f t="shared" si="1"/>
        <v>-441</v>
      </c>
      <c r="S49" s="355">
        <f t="shared" si="2"/>
        <v>-0.47</v>
      </c>
    </row>
    <row r="50" spans="1:19">
      <c r="A50" t="s">
        <v>1770</v>
      </c>
      <c r="B50" t="s">
        <v>2323</v>
      </c>
      <c r="C50" s="228">
        <f>IF(B50="","",IF(LEN(B50)&gt;9,SUMIFS(Options!$H$3:$H$32,Options!$B$3:$B$32,Check!B50),SUMIFS('Master P&amp;L'!$H$11:$H$106,'Master P&amp;L'!$B$11:$B$106,Check!B50)))</f>
        <v>-50</v>
      </c>
      <c r="D50" s="228">
        <f>IF(B50="","",SUMIFS(Input_APM!N:N,Input_APM!L:L,Check!B50,Input_APM!M:M,Check!$F$1))</f>
        <v>-141</v>
      </c>
      <c r="E50" s="214">
        <f t="shared" si="5"/>
        <v>100</v>
      </c>
      <c r="F50" s="228">
        <f>IF(B50="","",SUMIFS(Input_APM!N:N,Input_APM!M:M,Check!$F$1,Input_APM!L:L,Check!B50))</f>
        <v>-141</v>
      </c>
      <c r="G50" s="228">
        <f>IF(B50="","",SUMIFS(Input_APM!N:N,Input_APM!M:M,Check!$G$1,Input_APM!L:L,Check!B50))</f>
        <v>0</v>
      </c>
      <c r="H50" s="212">
        <f t="shared" si="0"/>
        <v>-141</v>
      </c>
      <c r="I50" s="212">
        <f>SUMIFS(Input_APM!N:N,Input_APM!L:L,Check!B50)</f>
        <v>-141</v>
      </c>
      <c r="J50" s="214">
        <f t="shared" si="3"/>
        <v>0</v>
      </c>
      <c r="K50" s="21">
        <f>IF(B50="","",SUMIFS('Input_APM (Zenith)'!N:N,'Input_APM (Zenith)'!L:L,Check!B50,'Input_APM (Zenith)'!M:M,Check!$F$1))</f>
        <v>-9</v>
      </c>
      <c r="L50" s="21">
        <f>IF(B50="","",SUMIFS('Input_APM (Zenith)'!N:N,'Input_APM (Zenith)'!L:L,Check!B50,'Input_APM (Zenith)'!M:M,Check!$G$1))</f>
        <v>0</v>
      </c>
      <c r="M50" s="212">
        <f t="shared" si="4"/>
        <v>-150</v>
      </c>
      <c r="O50" t="s">
        <v>2095</v>
      </c>
      <c r="P50" s="212">
        <f>IF(O50="","",IF(OR(LEFT(O50,4)="Cash",LEFT(O50,4)="Prov"),0,SUMIFS(Input_APM!N:N,Input_APM!L:L,Check!O50)))</f>
        <v>-188</v>
      </c>
      <c r="Q50" s="21">
        <f>IF(O50="","",IF(LEN(O50)&gt;9,SUMIFS(Options!$H$3:$H$32,Options!$B$3:$B$32,Check!O50),SUMIFS('Master P&amp;L'!$H$11:$H$106,'Master P&amp;L'!$B$11:$B$106,Check!O50)))</f>
        <v>-200</v>
      </c>
      <c r="R50" s="212">
        <f t="shared" si="1"/>
        <v>12</v>
      </c>
      <c r="S50" s="355">
        <f t="shared" si="2"/>
        <v>0.94</v>
      </c>
    </row>
    <row r="51" spans="1:19">
      <c r="B51" t="s">
        <v>2450</v>
      </c>
      <c r="C51" s="228">
        <f>IF(B51="","",IF(LEN(B51)&gt;9,SUMIFS(Options!$H$3:$H$32,Options!$B$3:$B$32,Check!B51),SUMIFS('Master P&amp;L'!$H$11:$H$106,'Master P&amp;L'!$B$11:$B$106,Check!B51)))</f>
        <v>0</v>
      </c>
      <c r="D51" s="228">
        <f>IF(B51="","",SUMIFS(Input_APM!N:N,Input_APM!L:L,Check!B51,Input_APM!M:M,Check!$F$1))</f>
        <v>0</v>
      </c>
      <c r="E51" s="214">
        <f t="shared" si="5"/>
        <v>0</v>
      </c>
      <c r="F51" s="228">
        <f>IF(B51="","",SUMIFS(Input_APM!N:N,Input_APM!M:M,Check!$F$1,Input_APM!L:L,Check!B51))</f>
        <v>0</v>
      </c>
      <c r="G51" s="228">
        <f>IF(B51="","",SUMIFS(Input_APM!N:N,Input_APM!M:M,Check!$G$1,Input_APM!L:L,Check!B51))</f>
        <v>0</v>
      </c>
      <c r="H51" s="212">
        <f t="shared" si="0"/>
        <v>0</v>
      </c>
      <c r="I51" s="212">
        <f>SUMIFS(Input_APM!N:N,Input_APM!L:L,Check!B51)</f>
        <v>0</v>
      </c>
      <c r="J51" s="214">
        <f t="shared" si="3"/>
        <v>0</v>
      </c>
      <c r="K51" s="21">
        <f>IF(B51="","",SUMIFS('Input_APM (Zenith)'!N:N,'Input_APM (Zenith)'!L:L,Check!B51,'Input_APM (Zenith)'!M:M,Check!$F$1))</f>
        <v>0</v>
      </c>
      <c r="L51" s="21">
        <f>IF(B51="","",SUMIFS('Input_APM (Zenith)'!N:N,'Input_APM (Zenith)'!L:L,Check!B51,'Input_APM (Zenith)'!M:M,Check!$G$1))</f>
        <v>0</v>
      </c>
      <c r="M51" s="212">
        <f t="shared" si="4"/>
        <v>0</v>
      </c>
      <c r="O51" t="s">
        <v>2058</v>
      </c>
      <c r="P51" s="212">
        <f>IF(O51="","",IF(OR(LEFT(O51,4)="Cash",LEFT(O51,4)="Prov"),0,SUMIFS(Input_APM!N:N,Input_APM!L:L,Check!O51)))</f>
        <v>141</v>
      </c>
      <c r="Q51" s="21">
        <f>IF(O51="","",IF(LEN(O51)&gt;9,SUMIFS(Options!$H$3:$H$32,Options!$B$3:$B$32,Check!O51),SUMIFS('Master P&amp;L'!$H$11:$H$106,'Master P&amp;L'!$B$11:$B$106,Check!O51)))</f>
        <v>150</v>
      </c>
      <c r="R51" s="212">
        <f t="shared" si="1"/>
        <v>-9</v>
      </c>
      <c r="S51" s="355">
        <f t="shared" si="2"/>
        <v>0.94</v>
      </c>
    </row>
    <row r="52" spans="1:19">
      <c r="B52" t="s">
        <v>2225</v>
      </c>
      <c r="C52" s="228">
        <f>IF(B52="","",IF(LEN(B52)&gt;9,SUMIFS(Options!$H$3:$H$32,Options!$B$3:$B$32,Check!B52),SUMIFS('Master P&amp;L'!$H$11:$H$106,'Master P&amp;L'!$B$11:$B$106,Check!B52)))</f>
        <v>1550</v>
      </c>
      <c r="D52" s="228">
        <f>IF(B52="","",SUMIFS(Input_APM!N:N,Input_APM!L:L,Check!B52,Input_APM!M:M,Check!$F$1))</f>
        <v>1453</v>
      </c>
      <c r="E52" s="212">
        <f>IF(B52="","",C52-M52)</f>
        <v>0</v>
      </c>
      <c r="F52" s="228">
        <f>IF(B52="","",SUMIFS(Input_APM!N:N,Input_APM!M:M,Check!$F$1,Input_APM!L:L,Check!B52))</f>
        <v>1453</v>
      </c>
      <c r="G52" s="228">
        <f>IF(B52="","",SUMIFS(Input_APM!N:N,Input_APM!M:M,Check!$G$1,Input_APM!L:L,Check!B52))</f>
        <v>0</v>
      </c>
      <c r="H52" s="212">
        <f t="shared" si="0"/>
        <v>1453</v>
      </c>
      <c r="I52" s="212">
        <f>SUMIFS(Input_APM!N:N,Input_APM!L:L,Check!B52)</f>
        <v>1453</v>
      </c>
      <c r="J52" s="214">
        <f t="shared" si="3"/>
        <v>0</v>
      </c>
      <c r="K52" s="21">
        <f>IF(B52="","",SUMIFS('Input_APM (Zenith)'!N:N,'Input_APM (Zenith)'!L:L,Check!B52,'Input_APM (Zenith)'!M:M,Check!$F$1))</f>
        <v>97</v>
      </c>
      <c r="L52" s="21">
        <f>IF(B52="","",SUMIFS('Input_APM (Zenith)'!N:N,'Input_APM (Zenith)'!L:L,Check!B52,'Input_APM (Zenith)'!M:M,Check!$G$1))</f>
        <v>0</v>
      </c>
      <c r="M52" s="212">
        <f t="shared" si="4"/>
        <v>1550</v>
      </c>
      <c r="O52" t="s">
        <v>2094</v>
      </c>
      <c r="P52" s="212">
        <f>IF(O52="","",IF(OR(LEFT(O52,4)="Cash",LEFT(O52,4)="Prov"),0,SUMIFS(Input_APM!N:N,Input_APM!L:L,Check!O52)))</f>
        <v>186</v>
      </c>
      <c r="Q52" s="21">
        <f>IF(O52="","",IF(LEN(O52)&gt;9,SUMIFS(Options!$H$3:$H$32,Options!$B$3:$B$32,Check!O52),SUMIFS('Master P&amp;L'!$H$11:$H$106,'Master P&amp;L'!$B$11:$B$106,Check!O52)))</f>
        <v>200</v>
      </c>
      <c r="R52" s="212">
        <f t="shared" si="1"/>
        <v>-14</v>
      </c>
      <c r="S52" s="355">
        <f t="shared" si="2"/>
        <v>0.93</v>
      </c>
    </row>
    <row r="53" spans="1:19">
      <c r="B53" t="s">
        <v>2226</v>
      </c>
      <c r="C53" s="228">
        <f>IF(B53="","",IF(LEN(B53)&gt;9,SUMIFS(Options!$H$3:$H$32,Options!$B$3:$B$32,Check!B53),SUMIFS('Master P&amp;L'!$H$11:$H$106,'Master P&amp;L'!$B$11:$B$106,Check!B53)))</f>
        <v>-1275</v>
      </c>
      <c r="D53" s="228">
        <f>IF(B53="","",SUMIFS(Input_APM!N:N,Input_APM!L:L,Check!B53,Input_APM!M:M,Check!$F$1))</f>
        <v>-1195</v>
      </c>
      <c r="E53" s="212">
        <f>IF(B53="","",C53-M53)</f>
        <v>0</v>
      </c>
      <c r="F53" s="228">
        <f>IF(B53="","",SUMIFS(Input_APM!N:N,Input_APM!M:M,Check!$F$1,Input_APM!L:L,Check!B53))</f>
        <v>-1195</v>
      </c>
      <c r="G53" s="228">
        <f>IF(B53="","",SUMIFS(Input_APM!N:N,Input_APM!M:M,Check!$G$1,Input_APM!L:L,Check!B53))</f>
        <v>0</v>
      </c>
      <c r="H53" s="212">
        <f t="shared" si="0"/>
        <v>-1195</v>
      </c>
      <c r="I53" s="212">
        <f>SUMIFS(Input_APM!N:N,Input_APM!L:L,Check!B53)</f>
        <v>-1195</v>
      </c>
      <c r="J53" s="214">
        <f t="shared" si="3"/>
        <v>0</v>
      </c>
      <c r="K53" s="21">
        <f>IF(B53="","",SUMIFS('Input_APM (Zenith)'!N:N,'Input_APM (Zenith)'!L:L,Check!B53,'Input_APM (Zenith)'!M:M,Check!$F$1))</f>
        <v>-80</v>
      </c>
      <c r="L53" s="21">
        <f>IF(B53="","",SUMIFS('Input_APM (Zenith)'!N:N,'Input_APM (Zenith)'!L:L,Check!B53,'Input_APM (Zenith)'!M:M,Check!$G$1))</f>
        <v>0</v>
      </c>
      <c r="M53" s="212">
        <f>IF(B53="","",F53+G53+K53+L53)</f>
        <v>-1275</v>
      </c>
      <c r="O53" t="s">
        <v>90</v>
      </c>
      <c r="P53" s="212">
        <f>IF(O53="","",IF(OR(LEFT(O53,4)="Cash",LEFT(O53,4)="Prov"),0,SUMIFS(Input_APM!N:N,Input_APM!L:L,Check!O53)))</f>
        <v>3910</v>
      </c>
      <c r="Q53" s="21">
        <f>IF(O53="","",IF(LEN(O53)&gt;9,SUMIFS(Options!$H$3:$H$32,Options!$B$3:$B$32,Check!O53),SUMIFS('Master P&amp;L'!$H$11:$H$106,'Master P&amp;L'!$B$11:$B$106,Check!O53)))</f>
        <v>1880</v>
      </c>
      <c r="R53" s="212">
        <f t="shared" si="1"/>
        <v>2030</v>
      </c>
      <c r="S53" s="355">
        <f t="shared" si="2"/>
        <v>2.0797872340425534</v>
      </c>
    </row>
    <row r="54" spans="1:19">
      <c r="B54"/>
      <c r="C54" s="228" t="str">
        <f>IF(B54="","",IF(LEN(B54)&gt;9,SUMIFS(Options!$H$3:$H$32,Options!$B$3:$B$32,Check!B54),SUMIFS('Master P&amp;L'!$H$11:$H$106,'Master P&amp;L'!$B$11:$B$106,Check!B54)))</f>
        <v/>
      </c>
      <c r="D54" s="228" t="str">
        <f>IF(B54="","",SUMIFS(Input_APM!N:N,Input_APM!L:L,Check!B54,Input_APM!M:M,Check!$F$1))</f>
        <v/>
      </c>
      <c r="E54" s="214" t="str">
        <f t="shared" si="5"/>
        <v/>
      </c>
      <c r="F54" s="228" t="str">
        <f>IF(B54="","",SUMIFS(Input_APM!N:N,Input_APM!M:M,Check!$F$1,Input_APM!L:L,Check!B54))</f>
        <v/>
      </c>
      <c r="G54" s="228" t="str">
        <f>IF(B54="","",SUMIFS(Input_APM!N:N,Input_APM!M:M,Check!$G$1,Input_APM!L:L,Check!B54))</f>
        <v/>
      </c>
      <c r="H54" s="212" t="str">
        <f t="shared" si="0"/>
        <v/>
      </c>
      <c r="I54" s="212">
        <f>SUMIFS(Input_APM!N:N,Input_APM!L:L,Check!B54)</f>
        <v>0</v>
      </c>
      <c r="J54" s="214" t="str">
        <f t="shared" si="3"/>
        <v/>
      </c>
      <c r="K54" s="21" t="str">
        <f>IF(B54="","",SUMIFS('Input_APM (Zenith)'!N:N,'Input_APM (Zenith)'!L:L,Check!B54,'Input_APM (Zenith)'!M:M,Check!$F$1))</f>
        <v/>
      </c>
      <c r="L54" s="21" t="str">
        <f>IF(B54="","",SUMIFS('Input_APM (Zenith)'!N:N,'Input_APM (Zenith)'!L:L,Check!B54,'Input_APM (Zenith)'!M:M,Check!$G$1))</f>
        <v/>
      </c>
      <c r="M54" s="212" t="str">
        <f t="shared" si="4"/>
        <v/>
      </c>
      <c r="O54" t="s">
        <v>2453</v>
      </c>
      <c r="P54" s="212">
        <f>IF(O54="","",IF(OR(LEFT(O54,4)="Cash",LEFT(O54,4)="Prov"),0,SUMIFS(Input_APM!N:N,Input_APM!L:L,Check!O54)))</f>
        <v>0</v>
      </c>
      <c r="Q54" s="21">
        <f>IF(O54="","",IF(LEN(O54)&gt;9,SUMIFS(Options!$H$3:$H$32,Options!$B$3:$B$32,Check!O54),SUMIFS('Master P&amp;L'!$H$11:$H$106,'Master P&amp;L'!$B$11:$B$106,Check!O54)))</f>
        <v>0</v>
      </c>
      <c r="R54" s="212">
        <f t="shared" si="1"/>
        <v>0</v>
      </c>
      <c r="S54" s="355" t="str">
        <f t="shared" si="2"/>
        <v>Ok</v>
      </c>
    </row>
    <row r="55" spans="1:19">
      <c r="B55"/>
      <c r="C55" s="228" t="str">
        <f>IF(B55="","",IF(LEN(B55)&gt;9,SUMIFS(Options!$H$3:$H$32,Options!$B$3:$B$32,Check!B55),SUMIFS('Master P&amp;L'!$H$11:$H$106,'Master P&amp;L'!$B$11:$B$106,Check!B55)))</f>
        <v/>
      </c>
      <c r="D55" s="228" t="str">
        <f>IF(B55="","",SUMIFS(Input_APM!N:N,Input_APM!L:L,Check!B55,Input_APM!M:M,Check!$F$1))</f>
        <v/>
      </c>
      <c r="E55" s="214" t="str">
        <f t="shared" si="5"/>
        <v/>
      </c>
      <c r="F55" s="228" t="str">
        <f>IF(B55="","",SUMIFS(Input_APM!N:N,Input_APM!M:M,Check!$F$1,Input_APM!L:L,Check!B55))</f>
        <v/>
      </c>
      <c r="G55" s="228" t="str">
        <f>IF(B55="","",SUMIFS(Input_APM!N:N,Input_APM!M:M,Check!$G$1,Input_APM!L:L,Check!B55))</f>
        <v/>
      </c>
      <c r="H55" s="212" t="str">
        <f t="shared" si="0"/>
        <v/>
      </c>
      <c r="I55" s="212">
        <f>SUMIFS(Input_APM!N:N,Input_APM!L:L,Check!B55)</f>
        <v>0</v>
      </c>
      <c r="J55" s="214" t="str">
        <f t="shared" si="3"/>
        <v/>
      </c>
      <c r="K55" s="21" t="str">
        <f>IF(B55="","",SUMIFS('Input_APM (Zenith)'!N:N,'Input_APM (Zenith)'!L:L,Check!B55,'Input_APM (Zenith)'!M:M,Check!$F$1))</f>
        <v/>
      </c>
      <c r="L55" s="21" t="str">
        <f>IF(B55="","",SUMIFS('Input_APM (Zenith)'!N:N,'Input_APM (Zenith)'!L:L,Check!B55,'Input_APM (Zenith)'!M:M,Check!$G$1))</f>
        <v/>
      </c>
      <c r="M55" s="212" t="str">
        <f t="shared" si="4"/>
        <v/>
      </c>
      <c r="O55" t="s">
        <v>94</v>
      </c>
      <c r="P55" s="212">
        <f>IF(O55="","",IF(OR(LEFT(O55,4)="Cash",LEFT(O55,4)="Prov"),0,SUMIFS(Input_APM!N:N,Input_APM!L:L,Check!O55)))</f>
        <v>18703</v>
      </c>
      <c r="Q55" s="21">
        <f>IF(O55="","",IF(LEN(O55)&gt;9,SUMIFS(Options!$H$3:$H$32,Options!$B$3:$B$32,Check!O55),SUMIFS('Master P&amp;L'!$H$11:$H$106,'Master P&amp;L'!$B$11:$B$106,Check!O55)))</f>
        <v>23027</v>
      </c>
      <c r="R55" s="212">
        <f t="shared" si="1"/>
        <v>-4324</v>
      </c>
      <c r="S55" s="355">
        <f t="shared" si="2"/>
        <v>0.81222043687844703</v>
      </c>
    </row>
    <row r="56" spans="1:19">
      <c r="B56"/>
      <c r="C56" s="228" t="str">
        <f>IF(B56="","",IF(LEN(B56)&gt;9,SUMIFS(Options!$H$3:$H$32,Options!$B$3:$B$32,Check!B56),SUMIFS('Master P&amp;L'!$H$11:$H$106,'Master P&amp;L'!$B$11:$B$106,Check!B56)))</f>
        <v/>
      </c>
      <c r="D56" s="228" t="str">
        <f>IF(B56="","",SUMIFS(Input_APM!N:N,Input_APM!L:L,Check!B56,Input_APM!M:M,Check!$F$1))</f>
        <v/>
      </c>
      <c r="E56" s="214" t="str">
        <f t="shared" si="5"/>
        <v/>
      </c>
      <c r="F56" s="228" t="str">
        <f>IF(B56="","",SUMIFS(Input_APM!N:N,Input_APM!M:M,Check!$F$1,Input_APM!L:L,Check!B56))</f>
        <v/>
      </c>
      <c r="G56" s="228" t="str">
        <f>IF(B56="","",SUMIFS(Input_APM!N:N,Input_APM!M:M,Check!$G$1,Input_APM!L:L,Check!B56))</f>
        <v/>
      </c>
      <c r="H56" s="212" t="str">
        <f t="shared" si="0"/>
        <v/>
      </c>
      <c r="I56" s="212">
        <f>SUMIFS(Input_APM!N:N,Input_APM!L:L,Check!B56)</f>
        <v>0</v>
      </c>
      <c r="J56" s="214" t="str">
        <f t="shared" si="3"/>
        <v/>
      </c>
      <c r="K56" s="21" t="str">
        <f>IF(B56="","",SUMIFS('Input_APM (Zenith)'!N:N,'Input_APM (Zenith)'!L:L,Check!B56,'Input_APM (Zenith)'!M:M,Check!$F$1))</f>
        <v/>
      </c>
      <c r="L56" s="21" t="str">
        <f>IF(B56="","",SUMIFS('Input_APM (Zenith)'!N:N,'Input_APM (Zenith)'!L:L,Check!B56,'Input_APM (Zenith)'!M:M,Check!$G$1))</f>
        <v/>
      </c>
      <c r="M56" s="212" t="str">
        <f t="shared" si="4"/>
        <v/>
      </c>
      <c r="O56" t="s">
        <v>2384</v>
      </c>
      <c r="P56" s="212">
        <f>IF(O56="","",IF(OR(LEFT(O56,4)="Cash",LEFT(O56,4)="Prov"),0,SUMIFS(Input_APM!N:N,Input_APM!L:L,Check!O56)))</f>
        <v>142</v>
      </c>
      <c r="Q56" s="21">
        <f>IF(O56="","",IF(LEN(O56)&gt;9,SUMIFS(Options!$H$3:$H$32,Options!$B$3:$B$32,Check!O56),SUMIFS('Master P&amp;L'!$H$11:$H$106,'Master P&amp;L'!$B$11:$B$106,Check!O56)))</f>
        <v>150</v>
      </c>
      <c r="R56" s="212">
        <f t="shared" si="1"/>
        <v>-8</v>
      </c>
      <c r="S56" s="355">
        <f t="shared" si="2"/>
        <v>0.94666666666666666</v>
      </c>
    </row>
    <row r="57" spans="1:19">
      <c r="B57"/>
      <c r="C57" s="228" t="str">
        <f>IF(B57="","",IF(LEN(B57)&gt;9,SUMIFS(Options!$H$3:$H$32,Options!$B$3:$B$32,Check!B57),SUMIFS('Master P&amp;L'!$H$11:$H$106,'Master P&amp;L'!$B$11:$B$106,Check!B57)))</f>
        <v/>
      </c>
      <c r="D57" s="228" t="str">
        <f>IF(B57="","",SUMIFS(Input_APM!N:N,Input_APM!L:L,Check!B57,Input_APM!M:M,Check!$F$1))</f>
        <v/>
      </c>
      <c r="E57" s="214" t="str">
        <f>IF(B57="","",C57-M57)</f>
        <v/>
      </c>
      <c r="F57" s="228" t="str">
        <f>IF(B57="","",SUMIFS(Input_APM!N:N,Input_APM!M:M,Check!$F$1,Input_APM!L:L,Check!B57))</f>
        <v/>
      </c>
      <c r="G57" s="228" t="str">
        <f>IF(B57="","",SUMIFS(Input_APM!N:N,Input_APM!M:M,Check!$G$1,Input_APM!L:L,Check!B57))</f>
        <v/>
      </c>
      <c r="H57" s="212" t="str">
        <f t="shared" si="0"/>
        <v/>
      </c>
      <c r="I57" s="212">
        <f>SUMIFS(Input_APM!N:N,Input_APM!L:L,Check!B57)</f>
        <v>0</v>
      </c>
      <c r="J57" s="214" t="str">
        <f t="shared" si="3"/>
        <v/>
      </c>
      <c r="K57" s="21" t="str">
        <f>IF(B57="","",SUMIFS('Input_APM (Zenith)'!N:N,'Input_APM (Zenith)'!L:L,Check!B57,'Input_APM (Zenith)'!M:M,Check!$F$1))</f>
        <v/>
      </c>
      <c r="L57" s="21" t="str">
        <f>IF(B57="","",SUMIFS('Input_APM (Zenith)'!N:N,'Input_APM (Zenith)'!L:L,Check!B57,'Input_APM (Zenith)'!M:M,Check!$G$1))</f>
        <v/>
      </c>
      <c r="M57" s="212" t="str">
        <f t="shared" si="4"/>
        <v/>
      </c>
      <c r="O57" t="s">
        <v>2401</v>
      </c>
      <c r="P57" s="212">
        <f>IF(O57="","",IF(OR(LEFT(O57,4)="Cash",LEFT(O57,4)="Prov"),0,SUMIFS(Input_APM!N:N,Input_APM!L:L,Check!O57)))</f>
        <v>0</v>
      </c>
      <c r="Q57" s="21">
        <f>IF(O57="","",IF(LEN(O57)&gt;9,SUMIFS(Options!$H$3:$H$32,Options!$B$3:$B$32,Check!O57),SUMIFS('Master P&amp;L'!$H$11:$H$106,'Master P&amp;L'!$B$11:$B$106,Check!O57)))</f>
        <v>0</v>
      </c>
      <c r="R57" s="212">
        <f t="shared" si="1"/>
        <v>0</v>
      </c>
      <c r="S57" s="355" t="str">
        <f t="shared" si="2"/>
        <v>Ok</v>
      </c>
    </row>
    <row r="58" spans="1:19">
      <c r="B58"/>
      <c r="C58" s="228" t="str">
        <f>IF(B58="","",IF(LEN(B58)&gt;9,SUMIFS(Options!$H$3:$H$32,Options!$B$3:$B$32,Check!B58),SUMIFS('Master P&amp;L'!$H$11:$H$106,'Master P&amp;L'!$B$11:$B$106,Check!B58)))</f>
        <v/>
      </c>
      <c r="D58" s="228" t="str">
        <f>IF(B58="","",SUMIFS(Input_APM!N:N,Input_APM!L:L,Check!B58,Input_APM!M:M,Check!$F$1))</f>
        <v/>
      </c>
      <c r="E58" s="212" t="str">
        <f t="shared" si="5"/>
        <v/>
      </c>
      <c r="F58" s="228" t="str">
        <f>IF(B58="","",SUMIFS(Input_APM!N:N,Input_APM!M:M,Check!$F$1,Input_APM!L:L,Check!B58))</f>
        <v/>
      </c>
      <c r="G58" s="228" t="str">
        <f>IF(B58="","",SUMIFS(Input_APM!N:N,Input_APM!M:M,Check!$G$1,Input_APM!L:L,Check!B58))</f>
        <v/>
      </c>
      <c r="H58" s="212" t="str">
        <f t="shared" si="0"/>
        <v/>
      </c>
      <c r="I58" s="212">
        <f>SUMIFS(Input_APM!N:N,Input_APM!L:L,Check!B58)</f>
        <v>0</v>
      </c>
      <c r="J58" s="214" t="str">
        <f t="shared" si="3"/>
        <v/>
      </c>
      <c r="K58" s="21" t="str">
        <f>IF(B58="","",SUMIFS('Input_APM (Zenith)'!N:N,'Input_APM (Zenith)'!L:L,Check!B58,'Input_APM (Zenith)'!M:M,Check!$F$1))</f>
        <v/>
      </c>
      <c r="L58" s="21" t="str">
        <f>IF(B58="","",SUMIFS('Input_APM (Zenith)'!N:N,'Input_APM (Zenith)'!L:L,Check!B58,'Input_APM (Zenith)'!M:M,Check!$G$1))</f>
        <v/>
      </c>
      <c r="M58" s="212" t="str">
        <f t="shared" si="4"/>
        <v/>
      </c>
      <c r="O58" t="s">
        <v>336</v>
      </c>
      <c r="P58" s="212">
        <f>IF(O58="","",IF(OR(LEFT(O58,4)="Cash",LEFT(O58,4)="Prov"),0,SUMIFS(Input_APM!N:N,Input_APM!L:L,Check!O58)))</f>
        <v>0</v>
      </c>
      <c r="Q58" s="21">
        <f>IF(O58="","",IF(LEN(O58)&gt;9,SUMIFS(Options!$H$3:$H$32,Options!$B$3:$B$32,Check!O58),SUMIFS('Master P&amp;L'!$H$11:$H$106,'Master P&amp;L'!$B$11:$B$106,Check!O58)))</f>
        <v>0</v>
      </c>
      <c r="R58" s="212">
        <f t="shared" si="1"/>
        <v>0</v>
      </c>
      <c r="S58" s="355" t="str">
        <f t="shared" si="2"/>
        <v>Ok</v>
      </c>
    </row>
    <row r="59" spans="1:19">
      <c r="B59"/>
      <c r="C59" s="228" t="str">
        <f>IF(B59="","",IF(LEN(B59)&gt;9,SUMIFS(Options!$H$3:$H$32,Options!$B$3:$B$32,Check!B59),SUMIFS('Master P&amp;L'!$H$11:$H$106,'Master P&amp;L'!$B$11:$B$106,Check!B59)))</f>
        <v/>
      </c>
      <c r="D59" s="228" t="str">
        <f>IF(B59="","",SUMIFS(Input_APM!N:N,Input_APM!L:L,Check!B59,Input_APM!M:M,Check!$F$1))</f>
        <v/>
      </c>
      <c r="E59" s="212" t="str">
        <f t="shared" si="5"/>
        <v/>
      </c>
      <c r="F59" s="228" t="str">
        <f>IF(B59="","",SUMIFS(Input_APM!N:N,Input_APM!M:M,Check!$F$1,Input_APM!L:L,Check!B59))</f>
        <v/>
      </c>
      <c r="G59" s="228" t="str">
        <f>IF(B59="","",SUMIFS(Input_APM!N:N,Input_APM!M:M,Check!$G$1,Input_APM!L:L,Check!B59))</f>
        <v/>
      </c>
      <c r="H59" s="212" t="str">
        <f t="shared" si="0"/>
        <v/>
      </c>
      <c r="I59" s="212">
        <f>SUMIFS(Input_APM!N:N,Input_APM!L:L,Check!B59)</f>
        <v>0</v>
      </c>
      <c r="J59" s="214" t="str">
        <f t="shared" si="3"/>
        <v/>
      </c>
      <c r="K59" s="21" t="str">
        <f>IF(B59="","",SUMIFS('Input_APM (Zenith)'!N:N,'Input_APM (Zenith)'!L:L,Check!B59,'Input_APM (Zenith)'!M:M,Check!$F$1))</f>
        <v/>
      </c>
      <c r="L59" s="21" t="str">
        <f>IF(B59="","",SUMIFS('Input_APM (Zenith)'!N:N,'Input_APM (Zenith)'!L:L,Check!B59,'Input_APM (Zenith)'!M:M,Check!$G$1))</f>
        <v/>
      </c>
      <c r="M59" s="212" t="str">
        <f t="shared" si="4"/>
        <v/>
      </c>
      <c r="O59" t="s">
        <v>306</v>
      </c>
      <c r="P59" s="212">
        <f>IF(O59="","",IF(OR(LEFT(O59,4)="Cash",LEFT(O59,4)="Prov"),0,SUMIFS(Input_APM!N:N,Input_APM!L:L,Check!O59)))</f>
        <v>0</v>
      </c>
      <c r="Q59" s="21">
        <f>IF(O59="","",IF(LEN(O59)&gt;9,SUMIFS(Options!$H$3:$H$32,Options!$B$3:$B$32,Check!O59),SUMIFS('Master P&amp;L'!$H$11:$H$106,'Master P&amp;L'!$B$11:$B$106,Check!O59)))</f>
        <v>0</v>
      </c>
      <c r="R59" s="212">
        <f t="shared" si="1"/>
        <v>0</v>
      </c>
      <c r="S59" s="355" t="str">
        <f t="shared" si="2"/>
        <v>Ok</v>
      </c>
    </row>
    <row r="60" spans="1:19">
      <c r="B60"/>
      <c r="C60" s="228" t="str">
        <f>IF(B60="","",IF(LEN(B60)&gt;9,SUMIFS(Options!$H$3:$H$32,Options!$B$3:$B$32,Check!B60),SUMIFS('Master P&amp;L'!$H$11:$H$106,'Master P&amp;L'!$B$11:$B$106,Check!B60)))</f>
        <v/>
      </c>
      <c r="D60" s="228" t="str">
        <f>IF(B60="","",SUMIFS(Input_APM!N:N,Input_APM!L:L,Check!B60,Input_APM!M:M,Check!$F$1))</f>
        <v/>
      </c>
      <c r="E60" s="214" t="str">
        <f t="shared" si="5"/>
        <v/>
      </c>
      <c r="F60" s="228" t="str">
        <f>IF(B60="","",SUMIFS(Input_APM!N:N,Input_APM!M:M,Check!$F$1,Input_APM!L:L,Check!B60))</f>
        <v/>
      </c>
      <c r="G60" s="228" t="str">
        <f>IF(B60="","",SUMIFS(Input_APM!N:N,Input_APM!M:M,Check!$G$1,Input_APM!L:L,Check!B60))</f>
        <v/>
      </c>
      <c r="H60" s="212" t="str">
        <f t="shared" si="0"/>
        <v/>
      </c>
      <c r="I60" s="212">
        <f>SUMIFS(Input_APM!N:N,Input_APM!L:L,Check!B60)</f>
        <v>0</v>
      </c>
      <c r="J60" s="214" t="str">
        <f t="shared" si="3"/>
        <v/>
      </c>
      <c r="K60" s="21" t="str">
        <f>IF(B60="","",SUMIFS('Input_APM (Zenith)'!N:N,'Input_APM (Zenith)'!L:L,Check!B60,'Input_APM (Zenith)'!M:M,Check!$F$1))</f>
        <v/>
      </c>
      <c r="L60" s="21" t="str">
        <f>IF(B60="","",SUMIFS('Input_APM (Zenith)'!N:N,'Input_APM (Zenith)'!L:L,Check!B60,'Input_APM (Zenith)'!M:M,Check!$G$1))</f>
        <v/>
      </c>
      <c r="M60" s="212" t="str">
        <f t="shared" si="4"/>
        <v/>
      </c>
      <c r="O60" t="s">
        <v>1666</v>
      </c>
      <c r="P60" s="212">
        <f>IF(O60="","",IF(OR(LEFT(O60,4)="Cash",LEFT(O60,4)="Prov"),0,SUMIFS(Input_APM!N:N,Input_APM!L:L,Check!O60)))</f>
        <v>0</v>
      </c>
      <c r="Q60" s="21">
        <f>IF(O60="","",IF(LEN(O60)&gt;9,SUMIFS(Options!$H$3:$H$32,Options!$B$3:$B$32,Check!O60),SUMIFS('Master P&amp;L'!$H$11:$H$106,'Master P&amp;L'!$B$11:$B$106,Check!O60)))</f>
        <v>0</v>
      </c>
      <c r="R60" s="212">
        <f t="shared" si="1"/>
        <v>0</v>
      </c>
      <c r="S60" s="355" t="str">
        <f t="shared" si="2"/>
        <v>Ok</v>
      </c>
    </row>
    <row r="61" spans="1:19">
      <c r="B61"/>
      <c r="C61" s="228" t="str">
        <f>IF(B61="","",IF(LEN(B61)&gt;9,SUMIFS(Options!$H$3:$H$32,Options!$B$3:$B$32,Check!B61),SUMIFS('Master P&amp;L'!$H$11:$H$106,'Master P&amp;L'!$B$11:$B$106,Check!B61)))</f>
        <v/>
      </c>
      <c r="D61" s="228" t="str">
        <f>IF(B61="","",SUMIFS(Input_APM!N:N,Input_APM!L:L,Check!B61,Input_APM!M:M,Check!$F$1))</f>
        <v/>
      </c>
      <c r="E61" s="212" t="str">
        <f t="shared" si="5"/>
        <v/>
      </c>
      <c r="F61" s="228" t="str">
        <f>IF(B61="","",SUMIFS(Input_APM!N:N,Input_APM!M:M,Check!$F$1,Input_APM!L:L,Check!B61))</f>
        <v/>
      </c>
      <c r="G61" s="228" t="str">
        <f>IF(B61="","",SUMIFS(Input_APM!N:N,Input_APM!M:M,Check!$G$1,Input_APM!L:L,Check!B61))</f>
        <v/>
      </c>
      <c r="H61" s="212" t="str">
        <f t="shared" si="0"/>
        <v/>
      </c>
      <c r="I61" s="212">
        <f>SUMIFS(Input_APM!N:N,Input_APM!L:L,Check!B61)</f>
        <v>0</v>
      </c>
      <c r="J61" s="214" t="str">
        <f t="shared" si="3"/>
        <v/>
      </c>
      <c r="K61" s="21" t="str">
        <f>IF(B61="","",SUMIFS('Input_APM (Zenith)'!N:N,'Input_APM (Zenith)'!L:L,Check!B61,'Input_APM (Zenith)'!M:M,Check!$F$1))</f>
        <v/>
      </c>
      <c r="L61" s="21" t="str">
        <f>IF(B61="","",SUMIFS('Input_APM (Zenith)'!N:N,'Input_APM (Zenith)'!L:L,Check!B61,'Input_APM (Zenith)'!M:M,Check!$G$1))</f>
        <v/>
      </c>
      <c r="M61" s="212" t="str">
        <f t="shared" si="4"/>
        <v/>
      </c>
      <c r="O61" t="s">
        <v>337</v>
      </c>
      <c r="P61" s="212">
        <f>IF(O61="","",IF(OR(LEFT(O61,4)="Cash",LEFT(O61,4)="Prov"),0,SUMIFS(Input_APM!N:N,Input_APM!L:L,Check!O61)))</f>
        <v>0</v>
      </c>
      <c r="Q61" s="21">
        <f>IF(O61="","",IF(LEN(O61)&gt;9,SUMIFS(Options!$H$3:$H$32,Options!$B$3:$B$32,Check!O61),SUMIFS('Master P&amp;L'!$H$11:$H$106,'Master P&amp;L'!$B$11:$B$106,Check!O61)))</f>
        <v>0</v>
      </c>
      <c r="R61" s="212">
        <f t="shared" si="1"/>
        <v>0</v>
      </c>
      <c r="S61" s="355" t="str">
        <f t="shared" si="2"/>
        <v>Ok</v>
      </c>
    </row>
    <row r="62" spans="1:19">
      <c r="B62"/>
      <c r="C62" s="228" t="str">
        <f>IF(B62="","",IF(LEN(B62)&gt;9,SUMIFS(Options!$H$3:$H$32,Options!$B$3:$B$32,Check!B62),SUMIFS('Master P&amp;L'!$H$11:$H$106,'Master P&amp;L'!$B$11:$B$106,Check!B62)))</f>
        <v/>
      </c>
      <c r="D62" s="228" t="str">
        <f>IF(B62="","",SUMIFS(Input_APM!N:N,Input_APM!L:L,Check!B62,Input_APM!M:M,Check!$F$1))</f>
        <v/>
      </c>
      <c r="E62" s="214" t="str">
        <f t="shared" si="5"/>
        <v/>
      </c>
      <c r="F62" s="228" t="str">
        <f>IF(B62="","",SUMIFS(Input_APM!N:N,Input_APM!M:M,Check!$F$1,Input_APM!L:L,Check!B62))</f>
        <v/>
      </c>
      <c r="G62" s="228" t="str">
        <f>IF(B62="","",SUMIFS(Input_APM!N:N,Input_APM!M:M,Check!$G$1,Input_APM!L:L,Check!B62))</f>
        <v/>
      </c>
      <c r="H62" s="212" t="str">
        <f t="shared" si="0"/>
        <v/>
      </c>
      <c r="I62" s="212">
        <f>SUMIFS(Input_APM!N:N,Input_APM!L:L,Check!B62)</f>
        <v>0</v>
      </c>
      <c r="J62" s="214" t="str">
        <f t="shared" si="3"/>
        <v/>
      </c>
      <c r="K62" s="21" t="str">
        <f>IF(B62="","",SUMIFS('Input_APM (Zenith)'!N:N,'Input_APM (Zenith)'!L:L,Check!B62,'Input_APM (Zenith)'!M:M,Check!$F$1))</f>
        <v/>
      </c>
      <c r="L62" s="21" t="str">
        <f>IF(B62="","",SUMIFS('Input_APM (Zenith)'!N:N,'Input_APM (Zenith)'!L:L,Check!B62,'Input_APM (Zenith)'!M:M,Check!$G$1))</f>
        <v/>
      </c>
      <c r="M62" s="212" t="str">
        <f t="shared" si="4"/>
        <v/>
      </c>
      <c r="O62" t="s">
        <v>307</v>
      </c>
      <c r="P62" s="212">
        <f>IF(O62="","",IF(OR(LEFT(O62,4)="Cash",LEFT(O62,4)="Prov"),0,SUMIFS(Input_APM!N:N,Input_APM!L:L,Check!O62)))</f>
        <v>0</v>
      </c>
      <c r="Q62" s="21">
        <f>IF(O62="","",IF(LEN(O62)&gt;9,SUMIFS(Options!$H$3:$H$32,Options!$B$3:$B$32,Check!O62),SUMIFS('Master P&amp;L'!$H$11:$H$106,'Master P&amp;L'!$B$11:$B$106,Check!O62)))</f>
        <v>0</v>
      </c>
      <c r="R62" s="212">
        <f t="shared" si="1"/>
        <v>0</v>
      </c>
      <c r="S62" s="355" t="str">
        <f t="shared" si="2"/>
        <v>Ok</v>
      </c>
    </row>
    <row r="63" spans="1:19">
      <c r="B63"/>
      <c r="C63" s="228" t="str">
        <f>IF(B63="","",IF(LEN(B63)&gt;9,SUMIFS(Options!$H$3:$H$32,Options!$B$3:$B$32,Check!B63),SUMIFS('Master P&amp;L'!$H$11:$H$106,'Master P&amp;L'!$B$11:$B$106,Check!B63)))</f>
        <v/>
      </c>
      <c r="D63" s="228" t="str">
        <f>IF(B63="","",SUMIFS(Input_APM!N:N,Input_APM!L:L,Check!B63,Input_APM!M:M,Check!$F$1))</f>
        <v/>
      </c>
      <c r="E63" s="214" t="str">
        <f t="shared" si="5"/>
        <v/>
      </c>
      <c r="F63" s="228" t="str">
        <f>IF(B63="","",SUMIFS(Input_APM!N:N,Input_APM!M:M,Check!$F$1,Input_APM!L:L,Check!B63))</f>
        <v/>
      </c>
      <c r="G63" s="228" t="str">
        <f>IF(B63="","",SUMIFS(Input_APM!N:N,Input_APM!M:M,Check!$G$1,Input_APM!L:L,Check!B63))</f>
        <v/>
      </c>
      <c r="H63" s="212" t="str">
        <f t="shared" si="0"/>
        <v/>
      </c>
      <c r="I63" s="212">
        <f>SUMIFS(Input_APM!N:N,Input_APM!L:L,Check!B63)</f>
        <v>0</v>
      </c>
      <c r="J63" s="214" t="str">
        <f t="shared" si="3"/>
        <v/>
      </c>
      <c r="K63" s="21" t="str">
        <f>IF(B63="","",SUMIFS('Input_APM (Zenith)'!N:N,'Input_APM (Zenith)'!L:L,Check!B63,'Input_APM (Zenith)'!M:M,Check!$F$1))</f>
        <v/>
      </c>
      <c r="L63" s="21" t="str">
        <f>IF(B63="","",SUMIFS('Input_APM (Zenith)'!N:N,'Input_APM (Zenith)'!L:L,Check!B63,'Input_APM (Zenith)'!M:M,Check!$G$1))</f>
        <v/>
      </c>
      <c r="M63" s="212" t="str">
        <f t="shared" si="4"/>
        <v/>
      </c>
      <c r="O63" t="s">
        <v>135</v>
      </c>
      <c r="P63" s="212">
        <f>IF(O63="","",IF(OR(LEFT(O63,4)="Cash",LEFT(O63,4)="Prov"),0,SUMIFS(Input_APM!N:N,Input_APM!L:L,Check!O63)))</f>
        <v>0</v>
      </c>
      <c r="Q63" s="21">
        <f>IF(O63="","",IF(LEN(O63)&gt;9,SUMIFS(Options!$H$3:$H$32,Options!$B$3:$B$32,Check!O63),SUMIFS('Master P&amp;L'!$H$11:$H$106,'Master P&amp;L'!$B$11:$B$106,Check!O63)))</f>
        <v>0</v>
      </c>
      <c r="R63" s="212">
        <f t="shared" si="1"/>
        <v>0</v>
      </c>
      <c r="S63" s="355" t="str">
        <f t="shared" si="2"/>
        <v>Ok</v>
      </c>
    </row>
    <row r="64" spans="1:19">
      <c r="B64"/>
      <c r="C64" s="228" t="str">
        <f>IF(B64="","",IF(LEN(B64)&gt;9,SUMIFS(Options!$H$3:$H$32,Options!$B$3:$B$32,Check!B64),SUMIFS('Master P&amp;L'!$H$11:$H$106,'Master P&amp;L'!$B$11:$B$106,Check!B64)))</f>
        <v/>
      </c>
      <c r="D64" s="228" t="str">
        <f>IF(B64="","",SUMIFS(Input_APM!N:N,Input_APM!L:L,Check!B64,Input_APM!M:M,Check!$F$1))</f>
        <v/>
      </c>
      <c r="E64" s="214" t="str">
        <f t="shared" si="5"/>
        <v/>
      </c>
      <c r="F64" s="228" t="str">
        <f>IF(B64="","",SUMIFS(Input_APM!N:N,Input_APM!M:M,Check!$F$1,Input_APM!L:L,Check!B64))</f>
        <v/>
      </c>
      <c r="G64" s="228" t="str">
        <f>IF(B64="","",SUMIFS(Input_APM!N:N,Input_APM!M:M,Check!$G$1,Input_APM!L:L,Check!B64))</f>
        <v/>
      </c>
      <c r="H64" s="212" t="str">
        <f t="shared" si="0"/>
        <v/>
      </c>
      <c r="I64" s="212">
        <f>SUMIFS(Input_APM!N:N,Input_APM!L:L,Check!B64)</f>
        <v>0</v>
      </c>
      <c r="J64" s="214" t="str">
        <f t="shared" si="3"/>
        <v/>
      </c>
      <c r="K64" s="21" t="str">
        <f>IF(B64="","",SUMIFS('Input_APM (Zenith)'!N:N,'Input_APM (Zenith)'!L:L,Check!B64,'Input_APM (Zenith)'!M:M,Check!$F$1))</f>
        <v/>
      </c>
      <c r="L64" s="21" t="str">
        <f>IF(B64="","",SUMIFS('Input_APM (Zenith)'!N:N,'Input_APM (Zenith)'!L:L,Check!B64,'Input_APM (Zenith)'!M:M,Check!$G$1))</f>
        <v/>
      </c>
      <c r="M64" s="212" t="str">
        <f t="shared" si="4"/>
        <v/>
      </c>
      <c r="O64" t="s">
        <v>2447</v>
      </c>
      <c r="P64" s="212">
        <f>IF(O64="","",IF(OR(LEFT(O64,4)="Cash",LEFT(O64,4)="Prov"),0,SUMIFS(Input_APM!N:N,Input_APM!L:L,Check!O64)))</f>
        <v>0</v>
      </c>
      <c r="Q64" s="21">
        <f>IF(O64="","",IF(LEN(O64)&gt;9,SUMIFS(Options!$H$3:$H$32,Options!$B$3:$B$32,Check!O64),SUMIFS('Master P&amp;L'!$H$11:$H$106,'Master P&amp;L'!$B$11:$B$106,Check!O64)))</f>
        <v>0</v>
      </c>
      <c r="R64" s="212">
        <f t="shared" si="1"/>
        <v>0</v>
      </c>
      <c r="S64" s="355" t="str">
        <f t="shared" si="2"/>
        <v>Ok</v>
      </c>
    </row>
    <row r="65" spans="2:19">
      <c r="B65"/>
      <c r="C65" s="228" t="str">
        <f>IF(B65="","",IF(LEN(B65)&gt;9,SUMIFS(Options!$H$3:$H$32,Options!$B$3:$B$32,Check!B65),SUMIFS('Master P&amp;L'!$H$11:$H$106,'Master P&amp;L'!$B$11:$B$106,Check!B65)))</f>
        <v/>
      </c>
      <c r="D65" s="228" t="str">
        <f>IF(B65="","",SUMIFS(Input_APM!N:N,Input_APM!L:L,Check!B65,Input_APM!M:M,Check!$F$1))</f>
        <v/>
      </c>
      <c r="E65" s="214" t="str">
        <f t="shared" si="5"/>
        <v/>
      </c>
      <c r="F65" s="228" t="str">
        <f>IF(B65="","",SUMIFS(Input_APM!N:N,Input_APM!M:M,Check!$F$1,Input_APM!L:L,Check!B65))</f>
        <v/>
      </c>
      <c r="G65" s="228" t="str">
        <f>IF(B65="","",SUMIFS(Input_APM!N:N,Input_APM!M:M,Check!$G$1,Input_APM!L:L,Check!B65))</f>
        <v/>
      </c>
      <c r="H65" s="212" t="str">
        <f t="shared" si="0"/>
        <v/>
      </c>
      <c r="I65" s="212">
        <f>SUMIFS(Input_APM!N:N,Input_APM!L:L,Check!B65)</f>
        <v>0</v>
      </c>
      <c r="J65" s="214" t="str">
        <f t="shared" si="3"/>
        <v/>
      </c>
      <c r="K65" s="21" t="str">
        <f>IF(B65="","",SUMIFS('Input_APM (Zenith)'!N:N,'Input_APM (Zenith)'!L:L,Check!B65,'Input_APM (Zenith)'!M:M,Check!$F$1))</f>
        <v/>
      </c>
      <c r="L65" s="21" t="str">
        <f>IF(B65="","",SUMIFS('Input_APM (Zenith)'!N:N,'Input_APM (Zenith)'!L:L,Check!B65,'Input_APM (Zenith)'!M:M,Check!$G$1))</f>
        <v/>
      </c>
      <c r="M65" s="212" t="str">
        <f t="shared" si="4"/>
        <v/>
      </c>
      <c r="O65" t="s">
        <v>2434</v>
      </c>
      <c r="P65" s="212">
        <f>IF(O65="","",IF(OR(LEFT(O65,4)="Cash",LEFT(O65,4)="Prov"),0,SUMIFS(Input_APM!N:N,Input_APM!L:L,Check!O65)))</f>
        <v>0</v>
      </c>
      <c r="Q65" s="21">
        <f>IF(O65="","",IF(LEN(O65)&gt;9,SUMIFS(Options!$H$3:$H$32,Options!$B$3:$B$32,Check!O65),SUMIFS('Master P&amp;L'!$H$11:$H$106,'Master P&amp;L'!$B$11:$B$106,Check!O65)))</f>
        <v>0</v>
      </c>
      <c r="R65" s="212">
        <f t="shared" si="1"/>
        <v>0</v>
      </c>
      <c r="S65" s="355" t="str">
        <f t="shared" si="2"/>
        <v>Ok</v>
      </c>
    </row>
    <row r="66" spans="2:19">
      <c r="B66"/>
      <c r="C66" s="228" t="str">
        <f>IF(B66="","",IF(LEN(B66)&gt;9,SUMIFS(Options!$H$3:$H$32,Options!$B$3:$B$32,Check!B66),SUMIFS('Master P&amp;L'!$H$11:$H$106,'Master P&amp;L'!$B$11:$B$106,Check!B66)))</f>
        <v/>
      </c>
      <c r="D66" s="228" t="str">
        <f>IF(B66="","",SUMIFS(Input_APM!N:N,Input_APM!L:L,Check!B66,Input_APM!M:M,Check!$F$1))</f>
        <v/>
      </c>
      <c r="E66" s="214" t="str">
        <f t="shared" ref="E66:E72" si="6">IF(B66="","",C66-M66)</f>
        <v/>
      </c>
      <c r="F66" s="228" t="str">
        <f>IF(B66="","",SUMIFS(Input_APM!N:N,Input_APM!M:M,Check!$F$1,Input_APM!L:L,Check!B66))</f>
        <v/>
      </c>
      <c r="G66" s="228" t="str">
        <f>IF(B66="","",SUMIFS(Input_APM!N:N,Input_APM!M:M,Check!$G$1,Input_APM!L:L,Check!B66))</f>
        <v/>
      </c>
      <c r="H66" s="212" t="str">
        <f t="shared" si="0"/>
        <v/>
      </c>
      <c r="I66" s="212">
        <f>SUMIFS(Input_APM!N:N,Input_APM!L:L,Check!B66)</f>
        <v>0</v>
      </c>
      <c r="J66" s="214" t="str">
        <f t="shared" si="3"/>
        <v/>
      </c>
      <c r="K66" s="21" t="str">
        <f>IF(B66="","",SUMIFS('Input_APM (Zenith)'!N:N,'Input_APM (Zenith)'!L:L,Check!B66,'Input_APM (Zenith)'!M:M,Check!$F$1))</f>
        <v/>
      </c>
      <c r="L66" s="21" t="str">
        <f>IF(B66="","",SUMIFS('Input_APM (Zenith)'!N:N,'Input_APM (Zenith)'!L:L,Check!B66,'Input_APM (Zenith)'!M:M,Check!$G$1))</f>
        <v/>
      </c>
      <c r="M66" s="212" t="str">
        <f t="shared" si="4"/>
        <v/>
      </c>
      <c r="O66" t="s">
        <v>2454</v>
      </c>
      <c r="P66" s="212">
        <f>IF(O66="","",IF(OR(LEFT(O66,4)="Cash",LEFT(O66,4)="Prov"),0,SUMIFS(Input_APM!N:N,Input_APM!L:L,Check!O66)))</f>
        <v>0</v>
      </c>
      <c r="Q66" s="21">
        <f>IF(O66="","",IF(LEN(O66)&gt;9,SUMIFS(Options!$H$3:$H$32,Options!$B$3:$B$32,Check!O66),SUMIFS('Master P&amp;L'!$H$11:$H$106,'Master P&amp;L'!$B$11:$B$106,Check!O66)))</f>
        <v>0</v>
      </c>
      <c r="R66" s="212">
        <f t="shared" si="1"/>
        <v>0</v>
      </c>
      <c r="S66" s="355" t="str">
        <f t="shared" si="2"/>
        <v>Ok</v>
      </c>
    </row>
    <row r="67" spans="2:19">
      <c r="B67"/>
      <c r="C67" s="228" t="str">
        <f>IF(B67="","",IF(LEN(B67)&gt;9,SUMIFS(Options!$H$3:$H$32,Options!$B$3:$B$32,Check!B67),SUMIFS('Master P&amp;L'!$H$11:$H$106,'Master P&amp;L'!$B$11:$B$106,Check!B67)))</f>
        <v/>
      </c>
      <c r="D67" s="228" t="str">
        <f>IF(B67="","",SUMIFS(Input_APM!N:N,Input_APM!L:L,Check!B67,Input_APM!M:M,Check!$F$1))</f>
        <v/>
      </c>
      <c r="E67" s="214" t="str">
        <f t="shared" si="6"/>
        <v/>
      </c>
      <c r="F67" s="228" t="str">
        <f>IF(B67="","",SUMIFS(Input_APM!N:N,Input_APM!M:M,Check!$F$1,Input_APM!L:L,Check!B67))</f>
        <v/>
      </c>
      <c r="G67" s="228" t="str">
        <f>IF(B67="","",SUMIFS(Input_APM!N:N,Input_APM!M:M,Check!$G$1,Input_APM!L:L,Check!B67))</f>
        <v/>
      </c>
      <c r="H67" s="212" t="str">
        <f t="shared" si="0"/>
        <v/>
      </c>
      <c r="I67" s="212">
        <f>SUMIFS(Input_APM!N:N,Input_APM!L:L,Check!B67)</f>
        <v>0</v>
      </c>
      <c r="J67" s="214" t="str">
        <f t="shared" si="3"/>
        <v/>
      </c>
      <c r="K67" s="21" t="str">
        <f>IF(B67="","",SUMIFS('Input_APM (Zenith)'!N:N,'Input_APM (Zenith)'!L:L,Check!B67,'Input_APM (Zenith)'!M:M,Check!$F$1))</f>
        <v/>
      </c>
      <c r="L67" s="21" t="str">
        <f>IF(B67="","",SUMIFS('Input_APM (Zenith)'!N:N,'Input_APM (Zenith)'!L:L,Check!B67,'Input_APM (Zenith)'!M:M,Check!$G$1))</f>
        <v/>
      </c>
      <c r="M67" s="212" t="str">
        <f t="shared" si="4"/>
        <v/>
      </c>
      <c r="O67" t="s">
        <v>2128</v>
      </c>
      <c r="P67" s="212">
        <f>IF(O67="","",IF(OR(LEFT(O67,4)="Cash",LEFT(O67,4)="Prov"),0,SUMIFS(Input_APM!N:N,Input_APM!L:L,Check!O67)))</f>
        <v>33235</v>
      </c>
      <c r="Q67" s="21">
        <f>IF(O67="","",IF(LEN(O67)&gt;9,SUMIFS(Options!$H$3:$H$32,Options!$B$3:$B$32,Check!O67),SUMIFS('Master P&amp;L'!$H$11:$H$106,'Master P&amp;L'!$B$11:$B$106,Check!O67)))</f>
        <v>35500</v>
      </c>
      <c r="R67" s="212">
        <f t="shared" si="1"/>
        <v>-2265</v>
      </c>
      <c r="S67" s="355">
        <f t="shared" si="2"/>
        <v>0.93619718309859157</v>
      </c>
    </row>
    <row r="68" spans="2:19">
      <c r="B68"/>
      <c r="C68" s="228" t="str">
        <f>IF(B68="","",IF(LEN(B68)&gt;9,SUMIFS(Options!$H$3:$H$32,Options!$B$3:$B$32,Check!B68),SUMIFS('Master P&amp;L'!$H$11:$H$106,'Master P&amp;L'!$B$11:$B$106,Check!B68)))</f>
        <v/>
      </c>
      <c r="D68" s="228" t="str">
        <f>IF(B68="","",SUMIFS(Input_APM!N:N,Input_APM!L:L,Check!B68,Input_APM!M:M,Check!$F$1))</f>
        <v/>
      </c>
      <c r="E68" s="214" t="str">
        <f t="shared" si="6"/>
        <v/>
      </c>
      <c r="F68" s="228" t="str">
        <f>IF(B68="","",SUMIFS(Input_APM!N:N,Input_APM!M:M,Check!$F$1,Input_APM!L:L,Check!B68))</f>
        <v/>
      </c>
      <c r="G68" s="228" t="str">
        <f>IF(B68="","",SUMIFS(Input_APM!N:N,Input_APM!M:M,Check!$G$1,Input_APM!L:L,Check!B68))</f>
        <v/>
      </c>
      <c r="H68" s="212" t="str">
        <f t="shared" si="0"/>
        <v/>
      </c>
      <c r="I68" s="212">
        <f>SUMIFS(Input_APM!N:N,Input_APM!L:L,Check!B68)</f>
        <v>0</v>
      </c>
      <c r="J68" s="214" t="str">
        <f t="shared" si="3"/>
        <v/>
      </c>
      <c r="K68" s="21" t="str">
        <f>IF(B68="","",SUMIFS('Input_APM (Zenith)'!N:N,'Input_APM (Zenith)'!L:L,Check!B68,'Input_APM (Zenith)'!M:M,Check!$F$1))</f>
        <v/>
      </c>
      <c r="L68" s="21" t="str">
        <f>IF(B68="","",SUMIFS('Input_APM (Zenith)'!N:N,'Input_APM (Zenith)'!L:L,Check!B68,'Input_APM (Zenith)'!M:M,Check!$G$1))</f>
        <v/>
      </c>
      <c r="M68" s="212" t="str">
        <f t="shared" si="4"/>
        <v/>
      </c>
      <c r="O68" t="s">
        <v>3</v>
      </c>
      <c r="P68" s="212">
        <f>IF(O68="","",IF(OR(LEFT(O68,4)="Cash",LEFT(O68,4)="Prov"),0,SUMIFS(Input_APM!N:N,Input_APM!L:L,Check!O68)))</f>
        <v>0</v>
      </c>
      <c r="Q68" s="21">
        <f>IF(O68="","",IF(LEN(O68)&gt;9,SUMIFS(Options!$H$3:$H$32,Options!$B$3:$B$32,Check!O68),SUMIFS('Master P&amp;L'!$H$11:$H$106,'Master P&amp;L'!$B$11:$B$106,Check!O68)))</f>
        <v>0</v>
      </c>
      <c r="R68" s="212">
        <f t="shared" si="1"/>
        <v>0</v>
      </c>
      <c r="S68" s="355" t="str">
        <f t="shared" si="2"/>
        <v>Ok</v>
      </c>
    </row>
    <row r="69" spans="2:19">
      <c r="B69"/>
      <c r="C69" s="228" t="str">
        <f>IF(B69="","",IF(LEN(B69)&gt;9,SUMIFS(Options!$H$3:$H$32,Options!$B$3:$B$32,Check!B69),SUMIFS('Master P&amp;L'!$H$11:$H$106,'Master P&amp;L'!$B$11:$B$106,Check!B69)))</f>
        <v/>
      </c>
      <c r="D69" s="228" t="str">
        <f>IF(B69="","",SUMIFS(Input_APM!N:N,Input_APM!L:L,Check!B69,Input_APM!M:M,Check!$F$1))</f>
        <v/>
      </c>
      <c r="E69" s="212" t="str">
        <f t="shared" si="6"/>
        <v/>
      </c>
      <c r="F69" s="228" t="str">
        <f>IF(B69="","",SUMIFS(Input_APM!N:N,Input_APM!M:M,Check!$F$1,Input_APM!L:L,Check!B69))</f>
        <v/>
      </c>
      <c r="G69" s="228" t="str">
        <f>IF(B69="","",SUMIFS(Input_APM!N:N,Input_APM!M:M,Check!$G$1,Input_APM!L:L,Check!B69))</f>
        <v/>
      </c>
      <c r="H69" s="212" t="str">
        <f t="shared" si="0"/>
        <v/>
      </c>
      <c r="I69" s="212">
        <f>SUMIFS(Input_APM!N:N,Input_APM!L:L,Check!B69)</f>
        <v>0</v>
      </c>
      <c r="J69" s="214" t="str">
        <f t="shared" si="3"/>
        <v/>
      </c>
      <c r="K69" s="21" t="str">
        <f>IF(B69="","",SUMIFS('Input_APM (Zenith)'!N:N,'Input_APM (Zenith)'!L:L,Check!B69,'Input_APM (Zenith)'!M:M,Check!$F$1))</f>
        <v/>
      </c>
      <c r="L69" s="21" t="str">
        <f>IF(B69="","",SUMIFS('Input_APM (Zenith)'!N:N,'Input_APM (Zenith)'!L:L,Check!B69,'Input_APM (Zenith)'!M:M,Check!$G$1))</f>
        <v/>
      </c>
      <c r="M69" s="212" t="str">
        <f t="shared" si="4"/>
        <v/>
      </c>
      <c r="O69" t="s">
        <v>2124</v>
      </c>
      <c r="P69" s="212">
        <f>IF(O69="","",IF(OR(LEFT(O69,4)="Cash",LEFT(O69,4)="Prov"),0,SUMIFS(Input_APM!N:N,Input_APM!L:L,Check!O69)))</f>
        <v>0</v>
      </c>
      <c r="Q69" s="21">
        <f>IF(O69="","",IF(LEN(O69)&gt;9,SUMIFS(Options!$H$3:$H$32,Options!$B$3:$B$32,Check!O69),SUMIFS('Master P&amp;L'!$H$11:$H$106,'Master P&amp;L'!$B$11:$B$106,Check!O69)))</f>
        <v>0</v>
      </c>
      <c r="R69" s="212">
        <f t="shared" si="1"/>
        <v>0</v>
      </c>
      <c r="S69" s="355" t="str">
        <f t="shared" si="2"/>
        <v>Ok</v>
      </c>
    </row>
    <row r="70" spans="2:19">
      <c r="B70"/>
      <c r="C70" s="228" t="str">
        <f>IF(B70="","",IF(LEN(B70)&gt;9,SUMIFS(Options!$H$3:$H$32,Options!$B$3:$B$32,Check!B70),SUMIFS('Master P&amp;L'!$H$11:$H$106,'Master P&amp;L'!$B$11:$B$106,Check!B70)))</f>
        <v/>
      </c>
      <c r="D70" s="228" t="str">
        <f>IF(B70="","",SUMIFS(Input_APM!N:N,Input_APM!L:L,Check!B70,Input_APM!M:M,Check!$F$1))</f>
        <v/>
      </c>
      <c r="E70" s="212" t="str">
        <f t="shared" si="6"/>
        <v/>
      </c>
      <c r="F70" s="228" t="str">
        <f>IF(B70="","",SUMIFS(Input_APM!N:N,Input_APM!M:M,Check!$F$1,Input_APM!L:L,Check!B70))</f>
        <v/>
      </c>
      <c r="G70" s="228" t="str">
        <f>IF(B70="","",SUMIFS(Input_APM!N:N,Input_APM!M:M,Check!$G$1,Input_APM!L:L,Check!B70))</f>
        <v/>
      </c>
      <c r="H70" s="212" t="str">
        <f t="shared" ref="H70:H77" si="7">IF(B70="","",F70-G70)</f>
        <v/>
      </c>
      <c r="I70" s="212">
        <f>SUMIFS(Input_APM!N:N,Input_APM!L:L,Check!B70)</f>
        <v>0</v>
      </c>
      <c r="J70" s="214" t="str">
        <f t="shared" ref="J70:J77" si="8">IF(B70="","",(F70+G70)-I70)</f>
        <v/>
      </c>
      <c r="K70" s="21" t="str">
        <f>IF(B70="","",SUMIFS('Input_APM (Zenith)'!N:N,'Input_APM (Zenith)'!L:L,Check!B70,'Input_APM (Zenith)'!M:M,Check!$F$1))</f>
        <v/>
      </c>
      <c r="L70" s="21" t="str">
        <f>IF(B70="","",SUMIFS('Input_APM (Zenith)'!N:N,'Input_APM (Zenith)'!L:L,Check!B70,'Input_APM (Zenith)'!M:M,Check!$G$1))</f>
        <v/>
      </c>
      <c r="M70" s="212" t="str">
        <f t="shared" ref="M70:M79" si="9">IF(B70="","",F70+G70+K70+L70)</f>
        <v/>
      </c>
      <c r="O70" t="s">
        <v>1761</v>
      </c>
      <c r="P70" s="212">
        <f>IF(O70="","",IF(OR(LEFT(O70,4)="Cash",LEFT(O70,4)="Prov"),0,SUMIFS(Input_APM!N:N,Input_APM!L:L,Check!O70)))</f>
        <v>655</v>
      </c>
      <c r="Q70" s="21">
        <f>IF(O70="","",IF(LEN(O70)&gt;9,SUMIFS(Options!$H$3:$H$32,Options!$B$3:$B$32,Check!O70),SUMIFS('Master P&amp;L'!$H$11:$H$106,'Master P&amp;L'!$B$11:$B$106,Check!O70)))</f>
        <v>0</v>
      </c>
      <c r="R70" s="212">
        <f t="shared" ref="R70:R99" si="10">IF(O70="","",P70-Q70)</f>
        <v>655</v>
      </c>
      <c r="S70" s="355" t="str">
        <f t="shared" ref="S70:S133" si="11">IF(O70="","",IF((P70+Q70)=0,"Ok",IF(OR(P70=0,Q70=0),"Erro",P70/Q70)))</f>
        <v>Erro</v>
      </c>
    </row>
    <row r="71" spans="2:19">
      <c r="B71"/>
      <c r="C71" s="228" t="str">
        <f>IF(B71="","",IF(LEN(B71)&gt;9,SUMIFS(Options!$H$3:$H$32,Options!$B$3:$B$32,Check!B71),SUMIFS('Master P&amp;L'!$H$11:$H$106,'Master P&amp;L'!$B$11:$B$106,Check!B71)))</f>
        <v/>
      </c>
      <c r="D71" s="228" t="str">
        <f>IF(B71="","",SUMIFS(Input_APM!N:N,Input_APM!L:L,Check!B71,Input_APM!M:M,Check!$F$1))</f>
        <v/>
      </c>
      <c r="E71" s="212" t="str">
        <f t="shared" si="6"/>
        <v/>
      </c>
      <c r="F71" s="228" t="str">
        <f>IF(B71="","",SUMIFS(Input_APM!N:N,Input_APM!M:M,Check!$F$1,Input_APM!L:L,Check!B71))</f>
        <v/>
      </c>
      <c r="G71" s="228" t="str">
        <f>IF(B71="","",SUMIFS(Input_APM!N:N,Input_APM!M:M,Check!$G$1,Input_APM!L:L,Check!B71))</f>
        <v/>
      </c>
      <c r="H71" s="212" t="str">
        <f t="shared" si="7"/>
        <v/>
      </c>
      <c r="I71" s="212">
        <f>SUMIFS(Input_APM!N:N,Input_APM!L:L,Check!B71)</f>
        <v>0</v>
      </c>
      <c r="J71" s="214" t="str">
        <f t="shared" si="8"/>
        <v/>
      </c>
      <c r="K71" s="21" t="str">
        <f>IF(B71="","",SUMIFS('Input_APM (Zenith)'!N:N,'Input_APM (Zenith)'!L:L,Check!B71,'Input_APM (Zenith)'!M:M,Check!$F$1))</f>
        <v/>
      </c>
      <c r="L71" s="21" t="str">
        <f>IF(B71="","",SUMIFS('Input_APM (Zenith)'!N:N,'Input_APM (Zenith)'!L:L,Check!B71,'Input_APM (Zenith)'!M:M,Check!$G$1))</f>
        <v/>
      </c>
      <c r="M71" s="212" t="str">
        <f t="shared" si="9"/>
        <v/>
      </c>
      <c r="O71" t="s">
        <v>2322</v>
      </c>
      <c r="P71" s="212">
        <f>IF(O71="","",IF(OR(LEFT(O71,4)="Cash",LEFT(O71,4)="Prov"),0,SUMIFS(Input_APM!N:N,Input_APM!L:L,Check!O71)))</f>
        <v>643</v>
      </c>
      <c r="Q71" s="21">
        <f>IF(O71="","",IF(LEN(O71)&gt;9,SUMIFS(Options!$H$3:$H$32,Options!$B$3:$B$32,Check!O71),SUMIFS('Master P&amp;L'!$H$11:$H$106,'Master P&amp;L'!$B$11:$B$106,Check!O71)))</f>
        <v>0</v>
      </c>
      <c r="R71" s="212">
        <f t="shared" si="10"/>
        <v>643</v>
      </c>
      <c r="S71" s="355" t="str">
        <f t="shared" si="11"/>
        <v>Erro</v>
      </c>
    </row>
    <row r="72" spans="2:19">
      <c r="B72"/>
      <c r="C72" s="228" t="str">
        <f>IF(B72="","",IF(LEN(B72)&gt;9,SUMIFS(Options!$H$3:$H$32,Options!$B$3:$B$32,Check!B72),SUMIFS('Master P&amp;L'!$H$11:$H$106,'Master P&amp;L'!$B$11:$B$106,Check!B72)))</f>
        <v/>
      </c>
      <c r="D72" s="228" t="str">
        <f>IF(B72="","",SUMIFS(Input_APM!N:N,Input_APM!L:L,Check!B72,Input_APM!M:M,Check!$F$1))</f>
        <v/>
      </c>
      <c r="E72" s="212" t="str">
        <f t="shared" si="6"/>
        <v/>
      </c>
      <c r="F72" s="228" t="str">
        <f>IF(B72="","",SUMIFS(Input_APM!N:N,Input_APM!M:M,Check!$F$1,Input_APM!L:L,Check!B72))</f>
        <v/>
      </c>
      <c r="G72" s="228" t="str">
        <f>IF(B72="","",SUMIFS(Input_APM!N:N,Input_APM!M:M,Check!$G$1,Input_APM!L:L,Check!B72))</f>
        <v/>
      </c>
      <c r="H72" s="212" t="str">
        <f t="shared" si="7"/>
        <v/>
      </c>
      <c r="I72" s="212">
        <f>SUMIFS(Input_APM!N:N,Input_APM!L:L,Check!B72)</f>
        <v>0</v>
      </c>
      <c r="J72" s="214" t="str">
        <f t="shared" si="8"/>
        <v/>
      </c>
      <c r="K72" s="21" t="str">
        <f>IF(B72="","",SUMIFS('Input_APM (Zenith)'!N:N,'Input_APM (Zenith)'!L:L,Check!B72,'Input_APM (Zenith)'!M:M,Check!$F$1))</f>
        <v/>
      </c>
      <c r="L72" s="21" t="str">
        <f>IF(B72="","",SUMIFS('Input_APM (Zenith)'!N:N,'Input_APM (Zenith)'!L:L,Check!B72,'Input_APM (Zenith)'!M:M,Check!$G$1))</f>
        <v/>
      </c>
      <c r="M72" s="212" t="str">
        <f t="shared" si="9"/>
        <v/>
      </c>
      <c r="O72" t="s">
        <v>2402</v>
      </c>
      <c r="P72" s="212">
        <f>IF(O72="","",IF(OR(LEFT(O72,4)="Cash",LEFT(O72,4)="Prov"),0,SUMIFS(Input_APM!N:N,Input_APM!L:L,Check!O72)))</f>
        <v>2470</v>
      </c>
      <c r="Q72" s="21">
        <f>IF(O72="","",IF(LEN(O72)&gt;9,SUMIFS(Options!$H$3:$H$32,Options!$B$3:$B$32,Check!O72),SUMIFS('Master P&amp;L'!$H$11:$H$106,'Master P&amp;L'!$B$11:$B$106,Check!O72)))</f>
        <v>0</v>
      </c>
      <c r="R72" s="212">
        <f t="shared" si="10"/>
        <v>2470</v>
      </c>
      <c r="S72" s="355" t="str">
        <f t="shared" si="11"/>
        <v>Erro</v>
      </c>
    </row>
    <row r="73" spans="2:19">
      <c r="B73"/>
      <c r="C73" s="228" t="str">
        <f>IF(B73="","",IF(LEN(B73)&gt;9,SUMIFS(Options!$H$3:$H$32,Options!$B$3:$B$32,Check!B73),SUMIFS('Master P&amp;L'!$H$11:$H$106,'Master P&amp;L'!$B$11:$B$106,Check!B73)))</f>
        <v/>
      </c>
      <c r="D73" s="228" t="str">
        <f>IF(B73="","",SUMIFS(Input_APM!N:N,Input_APM!L:L,Check!B73,Input_APM!M:M,Check!$F$1))</f>
        <v/>
      </c>
      <c r="E73" s="212" t="str">
        <f t="shared" ref="E73:E79" si="12">IF(B73="","",C73-M73)</f>
        <v/>
      </c>
      <c r="F73" s="228" t="str">
        <f>IF(B73="","",SUMIFS(Input_APM!N:N,Input_APM!M:M,Check!$F$1,Input_APM!L:L,Check!B73))</f>
        <v/>
      </c>
      <c r="G73" s="228" t="str">
        <f>IF(B73="","",SUMIFS(Input_APM!N:N,Input_APM!M:M,Check!$G$1,Input_APM!L:L,Check!B73))</f>
        <v/>
      </c>
      <c r="H73" s="212" t="str">
        <f t="shared" si="7"/>
        <v/>
      </c>
      <c r="I73" s="212">
        <f>SUMIFS(Input_APM!N:N,Input_APM!L:L,Check!B73)</f>
        <v>0</v>
      </c>
      <c r="J73" s="214" t="str">
        <f t="shared" si="8"/>
        <v/>
      </c>
      <c r="K73" s="21" t="str">
        <f>IF(B73="","",SUMIFS('Input_APM (Zenith)'!N:N,'Input_APM (Zenith)'!L:L,Check!B73,'Input_APM (Zenith)'!M:M,Check!$F$1))</f>
        <v/>
      </c>
      <c r="L73" s="21" t="str">
        <f>IF(B73="","",SUMIFS('Input_APM (Zenith)'!N:N,'Input_APM (Zenith)'!L:L,Check!B73,'Input_APM (Zenith)'!M:M,Check!$G$1))</f>
        <v/>
      </c>
      <c r="M73" s="212" t="str">
        <f t="shared" si="9"/>
        <v/>
      </c>
      <c r="O73" t="s">
        <v>2404</v>
      </c>
      <c r="P73" s="212">
        <f>IF(O73="","",IF(OR(LEFT(O73,4)="Cash",LEFT(O73,4)="Prov"),0,SUMIFS(Input_APM!N:N,Input_APM!L:L,Check!O73)))</f>
        <v>9090840</v>
      </c>
      <c r="Q73" s="21">
        <f>IF(O73="","",IF(LEN(O73)&gt;9,SUMIFS(Options!$H$3:$H$32,Options!$B$3:$B$32,Check!O73),SUMIFS('Master P&amp;L'!$H$11:$H$106,'Master P&amp;L'!$B$11:$B$106,Check!O73)))</f>
        <v>0</v>
      </c>
      <c r="R73" s="212">
        <f t="shared" si="10"/>
        <v>9090840</v>
      </c>
      <c r="S73" s="355" t="str">
        <f t="shared" si="11"/>
        <v>Erro</v>
      </c>
    </row>
    <row r="74" spans="2:19">
      <c r="B74"/>
      <c r="C74" s="228" t="str">
        <f>IF(B74="","",IF(LEN(B74)&gt;9,SUMIFS(Options!$H$3:$H$32,Options!$B$3:$B$32,Check!B74),SUMIFS('Master P&amp;L'!$H$11:$H$106,'Master P&amp;L'!$B$11:$B$106,Check!B74)))</f>
        <v/>
      </c>
      <c r="D74" s="228" t="str">
        <f>IF(B74="","",SUMIFS(Input_APM!N:N,Input_APM!L:L,Check!B74,Input_APM!M:M,Check!$F$1))</f>
        <v/>
      </c>
      <c r="E74" s="212" t="str">
        <f t="shared" si="12"/>
        <v/>
      </c>
      <c r="F74" s="228" t="str">
        <f>IF(B74="","",SUMIFS(Input_APM!N:N,Input_APM!M:M,Check!$F$1,Input_APM!L:L,Check!B74))</f>
        <v/>
      </c>
      <c r="G74" s="228" t="str">
        <f>IF(B74="","",SUMIFS(Input_APM!N:N,Input_APM!M:M,Check!$G$1,Input_APM!L:L,Check!B74))</f>
        <v/>
      </c>
      <c r="H74" s="212" t="str">
        <f t="shared" si="7"/>
        <v/>
      </c>
      <c r="I74" s="212">
        <f>SUMIFS(Input_APM!N:N,Input_APM!L:L,Check!B74)</f>
        <v>0</v>
      </c>
      <c r="J74" s="214" t="str">
        <f t="shared" si="8"/>
        <v/>
      </c>
      <c r="K74" s="21" t="str">
        <f>IF(B74="","",SUMIFS('Input_APM (Zenith)'!N:N,'Input_APM (Zenith)'!L:L,Check!B74,'Input_APM (Zenith)'!M:M,Check!$F$1))</f>
        <v/>
      </c>
      <c r="L74" s="21" t="str">
        <f>IF(B74="","",SUMIFS('Input_APM (Zenith)'!N:N,'Input_APM (Zenith)'!L:L,Check!B74,'Input_APM (Zenith)'!M:M,Check!$G$1))</f>
        <v/>
      </c>
      <c r="M74" s="212" t="str">
        <f t="shared" si="9"/>
        <v/>
      </c>
      <c r="O74" t="s">
        <v>96</v>
      </c>
      <c r="P74" s="212">
        <f>IF(O74="","",IF(OR(LEFT(O74,4)="Cash",LEFT(O74,4)="Prov"),0,SUMIFS(Input_APM!N:N,Input_APM!L:L,Check!O74)))</f>
        <v>708</v>
      </c>
      <c r="Q74" s="21">
        <f>IF(O74="","",IF(LEN(O74)&gt;9,SUMIFS(Options!$H$3:$H$32,Options!$B$3:$B$32,Check!O74),SUMIFS('Master P&amp;L'!$H$11:$H$106,'Master P&amp;L'!$B$11:$B$106,Check!O74)))</f>
        <v>3738</v>
      </c>
      <c r="R74" s="212">
        <f t="shared" si="10"/>
        <v>-3030</v>
      </c>
      <c r="S74" s="355">
        <f t="shared" si="11"/>
        <v>0.18940609951845908</v>
      </c>
    </row>
    <row r="75" spans="2:19">
      <c r="B75"/>
      <c r="C75" s="228" t="str">
        <f>IF(B75="","",IF(LEN(B75)&gt;9,SUMIFS(Options!$H$3:$H$32,Options!$B$3:$B$32,Check!B75),SUMIFS('Master P&amp;L'!$H$11:$H$106,'Master P&amp;L'!$B$11:$B$106,Check!B75)))</f>
        <v/>
      </c>
      <c r="D75" s="228" t="str">
        <f>IF(B75="","",SUMIFS(Input_APM!N:N,Input_APM!L:L,Check!B75,Input_APM!M:M,Check!$F$1))</f>
        <v/>
      </c>
      <c r="E75" s="212" t="str">
        <f t="shared" si="12"/>
        <v/>
      </c>
      <c r="F75" s="228" t="str">
        <f>IF(B75="","",SUMIFS(Input_APM!N:N,Input_APM!M:M,Check!$F$1,Input_APM!L:L,Check!B75))</f>
        <v/>
      </c>
      <c r="G75" s="228" t="str">
        <f>IF(B75="","",SUMIFS(Input_APM!N:N,Input_APM!M:M,Check!$G$1,Input_APM!L:L,Check!B75))</f>
        <v/>
      </c>
      <c r="H75" s="212" t="str">
        <f t="shared" si="7"/>
        <v/>
      </c>
      <c r="I75" s="212">
        <f>SUMIFS(Input_APM!N:N,Input_APM!L:L,Check!B75)</f>
        <v>0</v>
      </c>
      <c r="J75" s="214" t="str">
        <f t="shared" si="8"/>
        <v/>
      </c>
      <c r="K75" s="21" t="str">
        <f>IF(B75="","",SUMIFS('Input_APM (Zenith)'!N:N,'Input_APM (Zenith)'!L:L,Check!B75,'Input_APM (Zenith)'!M:M,Check!$F$1))</f>
        <v/>
      </c>
      <c r="L75" s="21" t="str">
        <f>IF(B75="","",SUMIFS('Input_APM (Zenith)'!N:N,'Input_APM (Zenith)'!L:L,Check!B75,'Input_APM (Zenith)'!M:M,Check!$G$1))</f>
        <v/>
      </c>
      <c r="M75" s="212" t="str">
        <f t="shared" si="9"/>
        <v/>
      </c>
      <c r="O75" t="s">
        <v>2225</v>
      </c>
      <c r="P75" s="212">
        <f>IF(O75="","",IF(OR(LEFT(O75,4)="Cash",LEFT(O75,4)="Prov"),0,SUMIFS(Input_APM!N:N,Input_APM!L:L,Check!O75)))</f>
        <v>1453</v>
      </c>
      <c r="Q75" s="21">
        <f>IF(O75="","",IF(LEN(O75)&gt;9,SUMIFS(Options!$H$3:$H$32,Options!$B$3:$B$32,Check!O75),SUMIFS('Master P&amp;L'!$H$11:$H$106,'Master P&amp;L'!$B$11:$B$106,Check!O75)))</f>
        <v>1550</v>
      </c>
      <c r="R75" s="212">
        <f t="shared" si="10"/>
        <v>-97</v>
      </c>
      <c r="S75" s="355">
        <f t="shared" si="11"/>
        <v>0.93741935483870964</v>
      </c>
    </row>
    <row r="76" spans="2:19">
      <c r="B76"/>
      <c r="C76" s="228" t="str">
        <f>IF(B76="","",IF(LEN(B76)&gt;9,SUMIFS(Options!$H$3:$H$32,Options!$B$3:$B$32,Check!B76),SUMIFS('Master P&amp;L'!$H$11:$H$106,'Master P&amp;L'!$B$11:$B$106,Check!B76)))</f>
        <v/>
      </c>
      <c r="D76" s="228" t="str">
        <f>IF(B76="","",SUMIFS(Input_APM!N:N,Input_APM!L:L,Check!B76,Input_APM!M:M,Check!$F$1))</f>
        <v/>
      </c>
      <c r="E76" s="212" t="str">
        <f t="shared" si="12"/>
        <v/>
      </c>
      <c r="F76" s="228" t="str">
        <f>IF(B76="","",SUMIFS(Input_APM!N:N,Input_APM!M:M,Check!$F$1,Input_APM!L:L,Check!B76))</f>
        <v/>
      </c>
      <c r="G76" s="228" t="str">
        <f>IF(B76="","",SUMIFS(Input_APM!N:N,Input_APM!M:M,Check!$G$1,Input_APM!L:L,Check!B76))</f>
        <v/>
      </c>
      <c r="H76" s="212" t="str">
        <f t="shared" si="7"/>
        <v/>
      </c>
      <c r="I76" s="212">
        <f>SUMIFS(Input_APM!N:N,Input_APM!L:L,Check!B76)</f>
        <v>0</v>
      </c>
      <c r="J76" s="214" t="str">
        <f t="shared" si="8"/>
        <v/>
      </c>
      <c r="K76" s="21" t="str">
        <f>IF(B76="","",SUMIFS('Input_APM (Zenith)'!N:N,'Input_APM (Zenith)'!L:L,Check!B76,'Input_APM (Zenith)'!M:M,Check!$F$1))</f>
        <v/>
      </c>
      <c r="L76" s="21" t="str">
        <f>IF(B76="","",SUMIFS('Input_APM (Zenith)'!N:N,'Input_APM (Zenith)'!L:L,Check!B76,'Input_APM (Zenith)'!M:M,Check!$G$1))</f>
        <v/>
      </c>
      <c r="M76" s="212" t="str">
        <f t="shared" si="9"/>
        <v/>
      </c>
      <c r="O76" t="s">
        <v>2226</v>
      </c>
      <c r="P76" s="212">
        <f>IF(O76="","",IF(OR(LEFT(O76,4)="Cash",LEFT(O76,4)="Prov"),0,SUMIFS(Input_APM!N:N,Input_APM!L:L,Check!O76)))</f>
        <v>-1195</v>
      </c>
      <c r="Q76" s="21">
        <f>IF(O76="","",IF(LEN(O76)&gt;9,SUMIFS(Options!$H$3:$H$32,Options!$B$3:$B$32,Check!O76),SUMIFS('Master P&amp;L'!$H$11:$H$106,'Master P&amp;L'!$B$11:$B$106,Check!O76)))</f>
        <v>-1275</v>
      </c>
      <c r="R76" s="212">
        <f t="shared" si="10"/>
        <v>80</v>
      </c>
      <c r="S76" s="355">
        <f t="shared" si="11"/>
        <v>0.93725490196078431</v>
      </c>
    </row>
    <row r="77" spans="2:19">
      <c r="B77"/>
      <c r="C77" s="228" t="str">
        <f>IF(B77="","",IF(LEN(B77)&gt;9,SUMIFS(Options!$H$3:$H$32,Options!$B$3:$B$32,Check!B77),SUMIFS('Master P&amp;L'!$H$11:$H$106,'Master P&amp;L'!$B$11:$B$106,Check!B77)))</f>
        <v/>
      </c>
      <c r="D77" s="228" t="str">
        <f>IF(B77="","",SUMIFS(Input_APM!N:N,Input_APM!L:L,Check!B77,Input_APM!M:M,Check!$F$1))</f>
        <v/>
      </c>
      <c r="E77" s="212" t="str">
        <f t="shared" si="12"/>
        <v/>
      </c>
      <c r="F77" s="228" t="str">
        <f>IF(B77="","",SUMIFS(Input_APM!N:N,Input_APM!M:M,Check!$F$1,Input_APM!L:L,Check!B77))</f>
        <v/>
      </c>
      <c r="G77" s="228" t="str">
        <f>IF(B77="","",SUMIFS(Input_APM!N:N,Input_APM!M:M,Check!$G$1,Input_APM!L:L,Check!B77))</f>
        <v/>
      </c>
      <c r="H77" s="212" t="str">
        <f t="shared" si="7"/>
        <v/>
      </c>
      <c r="I77" s="212">
        <f>SUMIFS(Input_APM!N:N,Input_APM!L:L,Check!B77)</f>
        <v>0</v>
      </c>
      <c r="J77" s="214" t="str">
        <f t="shared" si="8"/>
        <v/>
      </c>
      <c r="K77" s="21" t="str">
        <f>IF(B77="","",SUMIFS('Input_APM (Zenith)'!N:N,'Input_APM (Zenith)'!L:L,Check!B77,'Input_APM (Zenith)'!M:M,Check!$F$1))</f>
        <v/>
      </c>
      <c r="L77" s="21" t="str">
        <f>IF(B77="","",SUMIFS('Input_APM (Zenith)'!N:N,'Input_APM (Zenith)'!L:L,Check!B77,'Input_APM (Zenith)'!M:M,Check!$G$1))</f>
        <v/>
      </c>
      <c r="M77" s="212" t="str">
        <f t="shared" si="9"/>
        <v/>
      </c>
      <c r="O77" t="s">
        <v>88</v>
      </c>
      <c r="P77" s="212">
        <f>IF(O77="","",IF(OR(LEFT(O77,4)="Cash",LEFT(O77,4)="Prov"),0,SUMIFS(Input_APM!N:N,Input_APM!L:L,Check!O77)))</f>
        <v>42865</v>
      </c>
      <c r="Q77" s="21">
        <f>IF(O77="","",IF(LEN(O77)&gt;9,SUMIFS(Options!$H$3:$H$32,Options!$B$3:$B$32,Check!O77),SUMIFS('Master P&amp;L'!$H$11:$H$106,'Master P&amp;L'!$B$11:$B$106,Check!O77)))</f>
        <v>23500</v>
      </c>
      <c r="R77" s="212">
        <f t="shared" si="10"/>
        <v>19365</v>
      </c>
      <c r="S77" s="355">
        <f t="shared" si="11"/>
        <v>1.8240425531914894</v>
      </c>
    </row>
    <row r="78" spans="2:19">
      <c r="B78"/>
      <c r="C78" s="228" t="str">
        <f>IF(B78="","",IF(LEN(B78)&gt;9,SUMIFS(Options!$H$3:$H$32,Options!$B$3:$B$32,Check!B78),SUMIFS('Master P&amp;L'!$H$11:$H$106,'Master P&amp;L'!$B$11:$B$106,Check!B78)))</f>
        <v/>
      </c>
      <c r="D78" s="228" t="str">
        <f>IF(B78="","",SUMIFS(Input_APM!N:N,Input_APM!L:L,Check!B78,Input_APM!M:M,Check!$F$1))</f>
        <v/>
      </c>
      <c r="E78" s="212" t="str">
        <f t="shared" si="12"/>
        <v/>
      </c>
      <c r="F78" s="228" t="str">
        <f>IF(B78="","",SUMIFS(Input_APM!N:N,Input_APM!M:M,Check!$F$1,Input_APM!L:L,Check!B78))</f>
        <v/>
      </c>
      <c r="G78" s="228" t="str">
        <f>IF(B78="","",SUMIFS(Input_APM!N:N,Input_APM!M:M,Check!$G$1,Input_APM!L:L,Check!B78))</f>
        <v/>
      </c>
      <c r="H78" s="212" t="str">
        <f>IF(B78="","",F78-G78)</f>
        <v/>
      </c>
      <c r="I78" s="212">
        <f>SUMIFS(Input_APM!N:N,Input_APM!L:L,Check!B78)</f>
        <v>0</v>
      </c>
      <c r="J78" s="214" t="str">
        <f>IF(B78="","",(F78+G78)-I78)</f>
        <v/>
      </c>
      <c r="K78" s="21" t="str">
        <f>IF(B78="","",SUMIFS('Input_APM (Zenith)'!N:N,'Input_APM (Zenith)'!L:L,Check!B78,'Input_APM (Zenith)'!M:M,Check!$F$1))</f>
        <v/>
      </c>
      <c r="L78" s="21" t="str">
        <f>IF(B78="","",SUMIFS('Input_APM (Zenith)'!N:N,'Input_APM (Zenith)'!L:L,Check!B78,'Input_APM (Zenith)'!M:M,Check!$G$1))</f>
        <v/>
      </c>
      <c r="M78" s="212" t="str">
        <f t="shared" si="9"/>
        <v/>
      </c>
      <c r="O78" t="s">
        <v>4</v>
      </c>
      <c r="P78" s="212">
        <f>IF(O78="","",IF(OR(LEFT(O78,4)="Cash",LEFT(O78,4)="Prov"),0,SUMIFS(Input_APM!N:N,Input_APM!L:L,Check!O78)))</f>
        <v>-25765</v>
      </c>
      <c r="Q78" s="21">
        <f>IF(O78="","",IF(LEN(O78)&gt;9,SUMIFS(Options!$H$3:$H$32,Options!$B$3:$B$32,Check!O78),SUMIFS('Master P&amp;L'!$H$11:$H$106,'Master P&amp;L'!$B$11:$B$106,Check!O78)))</f>
        <v>-27500</v>
      </c>
      <c r="R78" s="212">
        <f t="shared" si="10"/>
        <v>1735</v>
      </c>
      <c r="S78" s="355">
        <f t="shared" si="11"/>
        <v>0.93690909090909091</v>
      </c>
    </row>
    <row r="79" spans="2:19">
      <c r="B79"/>
      <c r="C79" s="228" t="str">
        <f>IF(B79="","",IF(LEN(B79)&gt;9,SUMIFS(Options!$H$3:$H$32,Options!$B$3:$B$32,Check!B79),SUMIFS('Master P&amp;L'!$H$11:$H$106,'Master P&amp;L'!$B$11:$B$106,Check!B79)))</f>
        <v/>
      </c>
      <c r="D79" s="228" t="str">
        <f>IF(B79="","",SUMIFS(Input_APM!N:N,Input_APM!L:L,Check!B79,Input_APM!M:M,Check!$F$1))</f>
        <v/>
      </c>
      <c r="E79" s="212" t="str">
        <f t="shared" si="12"/>
        <v/>
      </c>
      <c r="F79" s="228" t="str">
        <f>IF(B79="","",SUMIFS(Input_APM!N:N,Input_APM!M:M,Check!$F$1,Input_APM!L:L,Check!B79))</f>
        <v/>
      </c>
      <c r="G79" s="228" t="str">
        <f>IF(B79="","",SUMIFS(Input_APM!N:N,Input_APM!M:M,Check!$G$1,Input_APM!L:L,Check!B79))</f>
        <v/>
      </c>
      <c r="H79" s="212" t="str">
        <f>IF(B79="","",F79-G79)</f>
        <v/>
      </c>
      <c r="I79" s="212">
        <f>SUMIFS(Input_APM!N:N,Input_APM!L:L,Check!B79)</f>
        <v>0</v>
      </c>
      <c r="J79" s="214" t="str">
        <f>IF(B79="","",(F79+G79)-I79)</f>
        <v/>
      </c>
      <c r="K79" s="21" t="str">
        <f>IF(B79="","",SUMIFS('Input_APM (Zenith)'!N:N,'Input_APM (Zenith)'!L:L,Check!B79,'Input_APM (Zenith)'!M:M,Check!$F$1))</f>
        <v/>
      </c>
      <c r="L79" s="21" t="str">
        <f>IF(B79="","",SUMIFS('Input_APM (Zenith)'!N:N,'Input_APM (Zenith)'!L:L,Check!B79,'Input_APM (Zenith)'!M:M,Check!$G$1))</f>
        <v/>
      </c>
      <c r="M79" s="212" t="str">
        <f t="shared" si="9"/>
        <v/>
      </c>
      <c r="O79" t="s">
        <v>2442</v>
      </c>
      <c r="P79" s="212">
        <f>IF(O79="","",IF(OR(LEFT(O79,4)="Cash",LEFT(O79,4)="Prov"),0,SUMIFS(Input_APM!N:N,Input_APM!L:L,Check!O79)))</f>
        <v>-470</v>
      </c>
      <c r="Q79" s="21">
        <f>IF(O79="","",IF(LEN(O79)&gt;9,SUMIFS(Options!$H$3:$H$32,Options!$B$3:$B$32,Check!O79),SUMIFS('Master P&amp;L'!$H$11:$H$106,'Master P&amp;L'!$B$11:$B$106,Check!O79)))</f>
        <v>0</v>
      </c>
      <c r="R79" s="212">
        <f t="shared" si="10"/>
        <v>-470</v>
      </c>
      <c r="S79" s="355" t="str">
        <f t="shared" si="11"/>
        <v>Erro</v>
      </c>
    </row>
    <row r="80" spans="2:19">
      <c r="B80"/>
      <c r="C80" s="228" t="str">
        <f>IF(B80="","",IF(LEN(B80)&gt;9,SUMIFS(Options!$H$3:$H$32,Options!$B$3:$B$32,Check!B80),SUMIFS('Master P&amp;L'!$H$11:$H$106,'Master P&amp;L'!$B$11:$B$106,Check!B80)))</f>
        <v/>
      </c>
      <c r="D80" s="228" t="str">
        <f>IF(B80="","",SUMIFS(Input_APM!N:N,Input_APM!L:L,Check!B80,Input_APM!M:M,Check!$F$1))</f>
        <v/>
      </c>
      <c r="E80" s="212" t="str">
        <f t="shared" ref="E80:E89" si="13">IF(B80="","",C80-M80)</f>
        <v/>
      </c>
      <c r="F80" s="228" t="str">
        <f>IF(B80="","",SUMIFS(Input_APM!N:N,Input_APM!M:M,Check!$F$1,Input_APM!L:L,Check!B80))</f>
        <v/>
      </c>
      <c r="G80" s="228" t="str">
        <f>IF(B80="","",SUMIFS(Input_APM!N:N,Input_APM!M:M,Check!$G$1,Input_APM!L:L,Check!B80))</f>
        <v/>
      </c>
      <c r="H80" s="212" t="str">
        <f t="shared" ref="H80:H89" si="14">IF(B80="","",F80-G80)</f>
        <v/>
      </c>
      <c r="I80" s="212">
        <f>SUMIFS(Input_APM!N:N,Input_APM!L:L,Check!B80)</f>
        <v>0</v>
      </c>
      <c r="J80" s="214" t="str">
        <f t="shared" ref="J80:J89" si="15">IF(B80="","",(F80+G80)-I80)</f>
        <v/>
      </c>
      <c r="K80" s="21" t="str">
        <f>IF(B80="","",SUMIFS('Input_APM (Zenith)'!N:N,'Input_APM (Zenith)'!L:L,Check!B80,'Input_APM (Zenith)'!M:M,Check!$F$1))</f>
        <v/>
      </c>
      <c r="L80" s="21" t="str">
        <f>IF(B80="","",SUMIFS('Input_APM (Zenith)'!N:N,'Input_APM (Zenith)'!L:L,Check!B80,'Input_APM (Zenith)'!M:M,Check!$G$1))</f>
        <v/>
      </c>
      <c r="M80" s="212" t="str">
        <f t="shared" ref="M80:M89" si="16">IF(B80="","",F80+G80+K80+L80)</f>
        <v/>
      </c>
      <c r="O80" t="s">
        <v>311</v>
      </c>
      <c r="P80" s="212" t="str">
        <f>IF(O80="","",IF(OR(LEFT(O80,4)="Cash",LEFT(O80,4)="Prov"),0,SUMIFS(Input_APM!N:N,Input_APM!L:L,Check!O80)))</f>
        <v/>
      </c>
      <c r="Q80" s="21" t="str">
        <f>IF(O80="","",IF(LEN(O80)&gt;9,SUMIFS(Options!$H$3:$H$32,Options!$B$3:$B$32,Check!O80),SUMIFS('Master P&amp;L'!$H$11:$H$106,'Master P&amp;L'!$B$11:$B$106,Check!O80)))</f>
        <v/>
      </c>
      <c r="R80" s="212" t="str">
        <f t="shared" si="10"/>
        <v/>
      </c>
      <c r="S80" s="355" t="str">
        <f t="shared" si="11"/>
        <v/>
      </c>
    </row>
    <row r="81" spans="2:19">
      <c r="B81"/>
      <c r="C81" s="228" t="str">
        <f>IF(B81="","",IF(LEN(B81)&gt;9,SUMIFS(Options!$H$3:$H$32,Options!$B$3:$B$32,Check!B81),SUMIFS('Master P&amp;L'!$H$11:$H$106,'Master P&amp;L'!$B$11:$B$106,Check!B81)))</f>
        <v/>
      </c>
      <c r="D81" s="228" t="str">
        <f>IF(B81="","",SUMIFS(Input_APM!N:N,Input_APM!L:L,Check!B81,Input_APM!M:M,Check!$F$1))</f>
        <v/>
      </c>
      <c r="E81" s="212" t="str">
        <f t="shared" si="13"/>
        <v/>
      </c>
      <c r="F81" s="228" t="str">
        <f>IF(B81="","",SUMIFS(Input_APM!N:N,Input_APM!M:M,Check!$F$1,Input_APM!L:L,Check!B81))</f>
        <v/>
      </c>
      <c r="G81" s="228" t="str">
        <f>IF(B81="","",SUMIFS(Input_APM!N:N,Input_APM!M:M,Check!$G$1,Input_APM!L:L,Check!B81))</f>
        <v/>
      </c>
      <c r="H81" s="212" t="str">
        <f t="shared" si="14"/>
        <v/>
      </c>
      <c r="I81" s="212">
        <f>SUMIFS(Input_APM!N:N,Input_APM!L:L,Check!B81)</f>
        <v>0</v>
      </c>
      <c r="J81" s="214" t="str">
        <f t="shared" si="15"/>
        <v/>
      </c>
      <c r="K81" s="21" t="str">
        <f>IF(B81="","",SUMIFS('Input_APM (Zenith)'!N:N,'Input_APM (Zenith)'!L:L,Check!B81,'Input_APM (Zenith)'!M:M,Check!$F$1))</f>
        <v/>
      </c>
      <c r="L81" s="21" t="str">
        <f>IF(B81="","",SUMIFS('Input_APM (Zenith)'!N:N,'Input_APM (Zenith)'!L:L,Check!B81,'Input_APM (Zenith)'!M:M,Check!$G$1))</f>
        <v/>
      </c>
      <c r="M81" s="212" t="str">
        <f t="shared" si="16"/>
        <v/>
      </c>
      <c r="O81"/>
      <c r="P81" s="212" t="str">
        <f>IF(O81="","",IF(OR(LEFT(O81,4)="Cash",LEFT(O81,4)="Prov"),0,SUMIFS(Input_APM!N:N,Input_APM!L:L,Check!O81)))</f>
        <v/>
      </c>
      <c r="Q81" s="21" t="str">
        <f>IF(O81="","",IF(LEN(O81)&gt;9,SUMIFS(Options!$H$3:$H$32,Options!$B$3:$B$32,Check!O81),SUMIFS('Master P&amp;L'!$H$11:$H$106,'Master P&amp;L'!$B$11:$B$106,Check!O81)))</f>
        <v/>
      </c>
      <c r="R81" s="212" t="str">
        <f t="shared" si="10"/>
        <v/>
      </c>
      <c r="S81" s="355" t="str">
        <f t="shared" si="11"/>
        <v/>
      </c>
    </row>
    <row r="82" spans="2:19">
      <c r="B82"/>
      <c r="C82" s="228" t="str">
        <f>IF(B82="","",IF(LEN(B82)&gt;9,SUMIFS(Options!$H$3:$H$32,Options!$B$3:$B$32,Check!B82),SUMIFS('Master P&amp;L'!$H$11:$H$106,'Master P&amp;L'!$B$11:$B$106,Check!B82)))</f>
        <v/>
      </c>
      <c r="D82" s="228" t="str">
        <f>IF(B82="","",SUMIFS(Input_APM!N:N,Input_APM!L:L,Check!B82,Input_APM!M:M,Check!$F$1))</f>
        <v/>
      </c>
      <c r="E82" s="212" t="str">
        <f t="shared" si="13"/>
        <v/>
      </c>
      <c r="F82" s="228" t="str">
        <f>IF(B82="","",SUMIFS(Input_APM!N:N,Input_APM!M:M,Check!$F$1,Input_APM!L:L,Check!B82))</f>
        <v/>
      </c>
      <c r="G82" s="228" t="str">
        <f>IF(B82="","",SUMIFS(Input_APM!N:N,Input_APM!M:M,Check!$G$1,Input_APM!L:L,Check!B82))</f>
        <v/>
      </c>
      <c r="H82" s="212" t="str">
        <f t="shared" si="14"/>
        <v/>
      </c>
      <c r="I82" s="212">
        <f>SUMIFS(Input_APM!N:N,Input_APM!L:L,Check!B82)</f>
        <v>0</v>
      </c>
      <c r="J82" s="214" t="str">
        <f t="shared" si="15"/>
        <v/>
      </c>
      <c r="K82" s="21" t="str">
        <f>IF(B82="","",SUMIFS('Input_APM (Zenith)'!N:N,'Input_APM (Zenith)'!L:L,Check!B82,'Input_APM (Zenith)'!M:M,Check!$F$1))</f>
        <v/>
      </c>
      <c r="L82" s="21" t="str">
        <f>IF(B82="","",SUMIFS('Input_APM (Zenith)'!N:N,'Input_APM (Zenith)'!L:L,Check!B82,'Input_APM (Zenith)'!M:M,Check!$G$1))</f>
        <v/>
      </c>
      <c r="M82" s="212" t="str">
        <f t="shared" si="16"/>
        <v/>
      </c>
      <c r="O82"/>
      <c r="P82" s="212" t="str">
        <f>IF(O82="","",IF(OR(LEFT(O82,4)="Cash",LEFT(O82,4)="Prov"),0,SUMIFS(Input_APM!N:N,Input_APM!L:L,Check!O82)))</f>
        <v/>
      </c>
      <c r="Q82" s="21" t="str">
        <f>IF(O82="","",IF(LEN(O82)&gt;9,SUMIFS(Options!$H$3:$H$32,Options!$B$3:$B$32,Check!O82),SUMIFS('Master P&amp;L'!$H$11:$H$106,'Master P&amp;L'!$B$11:$B$106,Check!O82)))</f>
        <v/>
      </c>
      <c r="R82" s="212" t="str">
        <f t="shared" si="10"/>
        <v/>
      </c>
      <c r="S82" s="355" t="str">
        <f t="shared" si="11"/>
        <v/>
      </c>
    </row>
    <row r="83" spans="2:19">
      <c r="B83"/>
      <c r="C83" s="228" t="str">
        <f>IF(B83="","",IF(LEN(B83)&gt;9,SUMIFS(Options!$H$3:$H$32,Options!$B$3:$B$32,Check!B83),SUMIFS('Master P&amp;L'!$H$11:$H$106,'Master P&amp;L'!$B$11:$B$106,Check!B83)))</f>
        <v/>
      </c>
      <c r="D83" s="228" t="str">
        <f>IF(B83="","",SUMIFS(Input_APM!N:N,Input_APM!L:L,Check!B83,Input_APM!M:M,Check!$F$1))</f>
        <v/>
      </c>
      <c r="E83" s="212" t="str">
        <f t="shared" si="13"/>
        <v/>
      </c>
      <c r="F83" s="228" t="str">
        <f>IF(B83="","",SUMIFS(Input_APM!N:N,Input_APM!M:M,Check!$F$1,Input_APM!L:L,Check!B83))</f>
        <v/>
      </c>
      <c r="G83" s="228" t="str">
        <f>IF(B83="","",SUMIFS(Input_APM!N:N,Input_APM!M:M,Check!$G$1,Input_APM!L:L,Check!B83))</f>
        <v/>
      </c>
      <c r="H83" s="212" t="str">
        <f t="shared" si="14"/>
        <v/>
      </c>
      <c r="I83" s="212">
        <f>SUMIFS(Input_APM!N:N,Input_APM!L:L,Check!B83)</f>
        <v>0</v>
      </c>
      <c r="J83" s="214" t="str">
        <f t="shared" si="15"/>
        <v/>
      </c>
      <c r="K83" s="21" t="str">
        <f>IF(B83="","",SUMIFS('Input_APM (Zenith)'!N:N,'Input_APM (Zenith)'!L:L,Check!B83,'Input_APM (Zenith)'!M:M,Check!$F$1))</f>
        <v/>
      </c>
      <c r="L83" s="21" t="str">
        <f>IF(B83="","",SUMIFS('Input_APM (Zenith)'!N:N,'Input_APM (Zenith)'!L:L,Check!B83,'Input_APM (Zenith)'!M:M,Check!$G$1))</f>
        <v/>
      </c>
      <c r="M83" s="212" t="str">
        <f t="shared" si="16"/>
        <v/>
      </c>
      <c r="O83"/>
      <c r="P83" s="212" t="str">
        <f>IF(O83="","",IF(OR(LEFT(O83,4)="Cash",LEFT(O83,4)="Prov"),0,SUMIFS(Input_APM!N:N,Input_APM!L:L,Check!O83)))</f>
        <v/>
      </c>
      <c r="Q83" s="21" t="str">
        <f>IF(O83="","",IF(LEN(O83)&gt;9,SUMIFS(Options!$H$3:$H$32,Options!$B$3:$B$32,Check!O83),SUMIFS('Master P&amp;L'!$H$11:$H$106,'Master P&amp;L'!$B$11:$B$106,Check!O83)))</f>
        <v/>
      </c>
      <c r="R83" s="212" t="str">
        <f t="shared" si="10"/>
        <v/>
      </c>
      <c r="S83" s="355" t="str">
        <f t="shared" si="11"/>
        <v/>
      </c>
    </row>
    <row r="84" spans="2:19">
      <c r="B84"/>
      <c r="C84" s="228" t="str">
        <f>IF(B84="","",IF(LEN(B84)&gt;9,SUMIFS(Options!$H$3:$H$32,Options!$B$3:$B$32,Check!B84),SUMIFS('Master P&amp;L'!$H$11:$H$106,'Master P&amp;L'!$B$11:$B$106,Check!B84)))</f>
        <v/>
      </c>
      <c r="D84" s="228" t="str">
        <f>IF(B84="","",SUMIFS(Input_APM!N:N,Input_APM!L:L,Check!B84,Input_APM!M:M,Check!$F$1))</f>
        <v/>
      </c>
      <c r="E84" s="212" t="str">
        <f t="shared" si="13"/>
        <v/>
      </c>
      <c r="F84" s="228" t="str">
        <f>IF(B84="","",SUMIFS(Input_APM!N:N,Input_APM!M:M,Check!$F$1,Input_APM!L:L,Check!B84))</f>
        <v/>
      </c>
      <c r="G84" s="228" t="str">
        <f>IF(B84="","",SUMIFS(Input_APM!N:N,Input_APM!M:M,Check!$G$1,Input_APM!L:L,Check!B84))</f>
        <v/>
      </c>
      <c r="H84" s="212" t="str">
        <f t="shared" si="14"/>
        <v/>
      </c>
      <c r="I84" s="212">
        <f>SUMIFS(Input_APM!N:N,Input_APM!L:L,Check!B84)</f>
        <v>0</v>
      </c>
      <c r="J84" s="214" t="str">
        <f t="shared" si="15"/>
        <v/>
      </c>
      <c r="K84" s="21" t="str">
        <f>IF(B84="","",SUMIFS('Input_APM (Zenith)'!N:N,'Input_APM (Zenith)'!L:L,Check!B84,'Input_APM (Zenith)'!M:M,Check!$F$1))</f>
        <v/>
      </c>
      <c r="L84" s="21" t="str">
        <f>IF(B84="","",SUMIFS('Input_APM (Zenith)'!N:N,'Input_APM (Zenith)'!L:L,Check!B84,'Input_APM (Zenith)'!M:M,Check!$G$1))</f>
        <v/>
      </c>
      <c r="M84" s="212" t="str">
        <f t="shared" si="16"/>
        <v/>
      </c>
      <c r="O84"/>
      <c r="P84" s="212" t="str">
        <f>IF(O84="","",IF(OR(LEFT(O84,4)="Cash",LEFT(O84,4)="Prov"),0,SUMIFS(Input_APM!N:N,Input_APM!L:L,Check!O84)))</f>
        <v/>
      </c>
      <c r="Q84" s="21" t="str">
        <f>IF(O84="","",IF(LEN(O84)&gt;9,SUMIFS(Options!$H$3:$H$32,Options!$B$3:$B$32,Check!O84),SUMIFS('Master P&amp;L'!$H$11:$H$106,'Master P&amp;L'!$B$11:$B$106,Check!O84)))</f>
        <v/>
      </c>
      <c r="R84" s="212" t="str">
        <f t="shared" si="10"/>
        <v/>
      </c>
      <c r="S84" s="355" t="str">
        <f t="shared" si="11"/>
        <v/>
      </c>
    </row>
    <row r="85" spans="2:19">
      <c r="B85"/>
      <c r="C85" s="228" t="str">
        <f>IF(B85="","",IF(LEN(B85)&gt;9,SUMIFS(Options!$H$3:$H$32,Options!$B$3:$B$32,Check!B85),SUMIFS('Master P&amp;L'!$H$11:$H$106,'Master P&amp;L'!$B$11:$B$106,Check!B85)))</f>
        <v/>
      </c>
      <c r="D85" s="228" t="str">
        <f>IF(B85="","",SUMIFS(Input_APM!N:N,Input_APM!L:L,Check!B85,Input_APM!M:M,Check!$F$1))</f>
        <v/>
      </c>
      <c r="E85" s="212" t="str">
        <f t="shared" si="13"/>
        <v/>
      </c>
      <c r="F85" s="228" t="str">
        <f>IF(B85="","",SUMIFS(Input_APM!N:N,Input_APM!M:M,Check!$F$1,Input_APM!L:L,Check!B85))</f>
        <v/>
      </c>
      <c r="G85" s="228" t="str">
        <f>IF(B85="","",SUMIFS(Input_APM!N:N,Input_APM!M:M,Check!$G$1,Input_APM!L:L,Check!B85))</f>
        <v/>
      </c>
      <c r="H85" s="212" t="str">
        <f t="shared" si="14"/>
        <v/>
      </c>
      <c r="I85" s="212">
        <f>SUMIFS(Input_APM!N:N,Input_APM!L:L,Check!B85)</f>
        <v>0</v>
      </c>
      <c r="J85" s="214" t="str">
        <f t="shared" si="15"/>
        <v/>
      </c>
      <c r="K85" s="21" t="str">
        <f>IF(B85="","",SUMIFS('Input_APM (Zenith)'!N:N,'Input_APM (Zenith)'!L:L,Check!B85,'Input_APM (Zenith)'!M:M,Check!$F$1))</f>
        <v/>
      </c>
      <c r="L85" s="21" t="str">
        <f>IF(B85="","",SUMIFS('Input_APM (Zenith)'!N:N,'Input_APM (Zenith)'!L:L,Check!B85,'Input_APM (Zenith)'!M:M,Check!$G$1))</f>
        <v/>
      </c>
      <c r="M85" s="212" t="str">
        <f t="shared" si="16"/>
        <v/>
      </c>
      <c r="O85"/>
      <c r="P85" s="212" t="str">
        <f>IF(O85="","",IF(OR(LEFT(O85,4)="Cash",LEFT(O85,4)="Prov"),0,SUMIFS(Input_APM!N:N,Input_APM!L:L,Check!O85)))</f>
        <v/>
      </c>
      <c r="Q85" s="21" t="str">
        <f>IF(O85="","",IF(LEN(O85)&gt;9,SUMIFS(Options!$H$3:$H$32,Options!$B$3:$B$32,Check!O85),SUMIFS('Master P&amp;L'!$H$11:$H$106,'Master P&amp;L'!$B$11:$B$106,Check!O85)))</f>
        <v/>
      </c>
      <c r="R85" s="212" t="str">
        <f t="shared" si="10"/>
        <v/>
      </c>
      <c r="S85" s="355" t="str">
        <f t="shared" si="11"/>
        <v/>
      </c>
    </row>
    <row r="86" spans="2:19">
      <c r="B86"/>
      <c r="C86" s="228" t="str">
        <f>IF(B86="","",IF(LEN(B86)&gt;9,SUMIFS(Options!$H$3:$H$32,Options!$B$3:$B$32,Check!B86),SUMIFS('Master P&amp;L'!$H$11:$H$106,'Master P&amp;L'!$B$11:$B$106,Check!B86)))</f>
        <v/>
      </c>
      <c r="D86" s="228" t="str">
        <f>IF(B86="","",SUMIFS(Input_APM!N:N,Input_APM!L:L,Check!B86,Input_APM!M:M,Check!$F$1))</f>
        <v/>
      </c>
      <c r="E86" s="212" t="str">
        <f t="shared" si="13"/>
        <v/>
      </c>
      <c r="F86" s="228" t="str">
        <f>IF(B86="","",SUMIFS(Input_APM!N:N,Input_APM!M:M,Check!$F$1,Input_APM!L:L,Check!B86))</f>
        <v/>
      </c>
      <c r="G86" s="228" t="str">
        <f>IF(B86="","",SUMIFS(Input_APM!N:N,Input_APM!M:M,Check!$G$1,Input_APM!L:L,Check!B86))</f>
        <v/>
      </c>
      <c r="H86" s="212" t="str">
        <f t="shared" si="14"/>
        <v/>
      </c>
      <c r="I86" s="212">
        <f>SUMIFS(Input_APM!N:N,Input_APM!L:L,Check!B86)</f>
        <v>0</v>
      </c>
      <c r="J86" s="214" t="str">
        <f t="shared" si="15"/>
        <v/>
      </c>
      <c r="K86" s="21" t="str">
        <f>IF(B86="","",SUMIFS('Input_APM (Zenith)'!N:N,'Input_APM (Zenith)'!L:L,Check!B86,'Input_APM (Zenith)'!M:M,Check!$F$1))</f>
        <v/>
      </c>
      <c r="L86" s="21" t="str">
        <f>IF(B86="","",SUMIFS('Input_APM (Zenith)'!N:N,'Input_APM (Zenith)'!L:L,Check!B86,'Input_APM (Zenith)'!M:M,Check!$G$1))</f>
        <v/>
      </c>
      <c r="M86" s="212" t="str">
        <f t="shared" si="16"/>
        <v/>
      </c>
      <c r="O86"/>
      <c r="P86" s="212" t="str">
        <f>IF(O86="","",IF(OR(LEFT(O86,4)="Cash",LEFT(O86,4)="Prov"),0,SUMIFS(Input_APM!N:N,Input_APM!L:L,Check!O86)))</f>
        <v/>
      </c>
      <c r="Q86" s="21" t="str">
        <f>IF(O86="","",IF(LEN(O86)&gt;9,SUMIFS(Options!$H$3:$H$32,Options!$B$3:$B$32,Check!O86),SUMIFS('Master P&amp;L'!$H$11:$H$106,'Master P&amp;L'!$B$11:$B$106,Check!O86)))</f>
        <v/>
      </c>
      <c r="R86" s="212" t="str">
        <f t="shared" si="10"/>
        <v/>
      </c>
      <c r="S86" s="355" t="str">
        <f t="shared" si="11"/>
        <v/>
      </c>
    </row>
    <row r="87" spans="2:19">
      <c r="B87"/>
      <c r="C87" s="228" t="str">
        <f>IF(B87="","",IF(LEN(B87)&gt;9,SUMIFS(Options!$H$3:$H$32,Options!$B$3:$B$32,Check!B87),SUMIFS('Master P&amp;L'!$H$11:$H$106,'Master P&amp;L'!$B$11:$B$106,Check!B87)))</f>
        <v/>
      </c>
      <c r="D87" s="228" t="str">
        <f>IF(B87="","",SUMIFS(Input_APM!N:N,Input_APM!L:L,Check!B87,Input_APM!M:M,Check!$F$1))</f>
        <v/>
      </c>
      <c r="E87" s="212" t="str">
        <f t="shared" si="13"/>
        <v/>
      </c>
      <c r="F87" s="228" t="str">
        <f>IF(B87="","",SUMIFS(Input_APM!N:N,Input_APM!M:M,Check!$F$1,Input_APM!L:L,Check!B87))</f>
        <v/>
      </c>
      <c r="G87" s="228" t="str">
        <f>IF(B87="","",SUMIFS(Input_APM!N:N,Input_APM!M:M,Check!$G$1,Input_APM!L:L,Check!B87))</f>
        <v/>
      </c>
      <c r="H87" s="212" t="str">
        <f t="shared" si="14"/>
        <v/>
      </c>
      <c r="I87" s="212">
        <f>SUMIFS(Input_APM!N:N,Input_APM!L:L,Check!B87)</f>
        <v>0</v>
      </c>
      <c r="J87" s="214" t="str">
        <f t="shared" si="15"/>
        <v/>
      </c>
      <c r="K87" s="21" t="str">
        <f>IF(B87="","",SUMIFS('Input_APM (Zenith)'!N:N,'Input_APM (Zenith)'!L:L,Check!B87,'Input_APM (Zenith)'!M:M,Check!$F$1))</f>
        <v/>
      </c>
      <c r="L87" s="21" t="str">
        <f>IF(B87="","",SUMIFS('Input_APM (Zenith)'!N:N,'Input_APM (Zenith)'!L:L,Check!B87,'Input_APM (Zenith)'!M:M,Check!$G$1))</f>
        <v/>
      </c>
      <c r="M87" s="212" t="str">
        <f t="shared" si="16"/>
        <v/>
      </c>
      <c r="O87"/>
      <c r="P87" s="212" t="str">
        <f>IF(O87="","",IF(OR(LEFT(O87,4)="Cash",LEFT(O87,4)="Prov"),0,SUMIFS(Input_APM!N:N,Input_APM!L:L,Check!O87)))</f>
        <v/>
      </c>
      <c r="Q87" s="21" t="str">
        <f>IF(O87="","",IF(LEN(O87)&gt;9,SUMIFS(Options!$H$3:$H$32,Options!$B$3:$B$32,Check!O87),SUMIFS('Master P&amp;L'!$H$11:$H$106,'Master P&amp;L'!$B$11:$B$106,Check!O87)))</f>
        <v/>
      </c>
      <c r="R87" s="212" t="str">
        <f t="shared" si="10"/>
        <v/>
      </c>
      <c r="S87" s="355" t="str">
        <f t="shared" si="11"/>
        <v/>
      </c>
    </row>
    <row r="88" spans="2:19">
      <c r="B88"/>
      <c r="C88" s="228" t="str">
        <f>IF(B88="","",IF(LEN(B88)&gt;9,SUMIFS(Options!$H$3:$H$32,Options!$B$3:$B$32,Check!B88),SUMIFS('Master P&amp;L'!$H$11:$H$106,'Master P&amp;L'!$B$11:$B$106,Check!B88)))</f>
        <v/>
      </c>
      <c r="D88" s="228" t="str">
        <f>IF(B88="","",SUMIFS(Input_APM!N:N,Input_APM!L:L,Check!B88,Input_APM!M:M,Check!$F$1))</f>
        <v/>
      </c>
      <c r="E88" s="212" t="str">
        <f t="shared" si="13"/>
        <v/>
      </c>
      <c r="F88" s="228" t="str">
        <f>IF(B88="","",SUMIFS(Input_APM!N:N,Input_APM!M:M,Check!$F$1,Input_APM!L:L,Check!B88))</f>
        <v/>
      </c>
      <c r="G88" s="228" t="str">
        <f>IF(B88="","",SUMIFS(Input_APM!N:N,Input_APM!M:M,Check!$G$1,Input_APM!L:L,Check!B88))</f>
        <v/>
      </c>
      <c r="H88" s="212" t="str">
        <f t="shared" si="14"/>
        <v/>
      </c>
      <c r="I88" s="212">
        <f>SUMIFS(Input_APM!N:N,Input_APM!L:L,Check!B88)</f>
        <v>0</v>
      </c>
      <c r="J88" s="214" t="str">
        <f t="shared" si="15"/>
        <v/>
      </c>
      <c r="K88" s="21" t="str">
        <f>IF(B88="","",SUMIFS('Input_APM (Zenith)'!N:N,'Input_APM (Zenith)'!L:L,Check!B88,'Input_APM (Zenith)'!M:M,Check!$F$1))</f>
        <v/>
      </c>
      <c r="L88" s="21" t="str">
        <f>IF(B88="","",SUMIFS('Input_APM (Zenith)'!N:N,'Input_APM (Zenith)'!L:L,Check!B88,'Input_APM (Zenith)'!M:M,Check!$G$1))</f>
        <v/>
      </c>
      <c r="M88" s="212" t="str">
        <f t="shared" si="16"/>
        <v/>
      </c>
      <c r="O88"/>
      <c r="P88" s="212" t="str">
        <f>IF(O88="","",IF(OR(LEFT(O88,4)="Cash",LEFT(O88,4)="Prov"),0,SUMIFS(Input_APM!N:N,Input_APM!L:L,Check!O88)))</f>
        <v/>
      </c>
      <c r="Q88" s="21" t="str">
        <f>IF(O88="","",IF(LEN(O88)&gt;9,SUMIFS(Options!$H$3:$H$32,Options!$B$3:$B$32,Check!O88),SUMIFS('Master P&amp;L'!$H$11:$H$106,'Master P&amp;L'!$B$11:$B$106,Check!O88)))</f>
        <v/>
      </c>
      <c r="R88" s="212" t="str">
        <f t="shared" si="10"/>
        <v/>
      </c>
      <c r="S88" s="355" t="str">
        <f t="shared" si="11"/>
        <v/>
      </c>
    </row>
    <row r="89" spans="2:19">
      <c r="B89"/>
      <c r="C89" s="228" t="str">
        <f>IF(B89="","",IF(LEN(B89)&gt;9,SUMIFS(Options!$H$3:$H$32,Options!$B$3:$B$32,Check!B89),SUMIFS('Master P&amp;L'!$H$11:$H$106,'Master P&amp;L'!$B$11:$B$106,Check!B89)))</f>
        <v/>
      </c>
      <c r="D89" s="228" t="str">
        <f>IF(B89="","",SUMIFS(Input_APM!N:N,Input_APM!L:L,Check!B89,Input_APM!M:M,Check!$F$1))</f>
        <v/>
      </c>
      <c r="E89" s="212" t="str">
        <f t="shared" si="13"/>
        <v/>
      </c>
      <c r="F89" s="228" t="str">
        <f>IF(B89="","",SUMIFS(Input_APM!N:N,Input_APM!M:M,Check!$F$1,Input_APM!L:L,Check!B89))</f>
        <v/>
      </c>
      <c r="G89" s="228" t="str">
        <f>IF(B89="","",SUMIFS(Input_APM!N:N,Input_APM!M:M,Check!$G$1,Input_APM!L:L,Check!B89))</f>
        <v/>
      </c>
      <c r="H89" s="212" t="str">
        <f t="shared" si="14"/>
        <v/>
      </c>
      <c r="I89" s="212">
        <f>SUMIFS(Input_APM!N:N,Input_APM!L:L,Check!B89)</f>
        <v>0</v>
      </c>
      <c r="J89" s="214" t="str">
        <f t="shared" si="15"/>
        <v/>
      </c>
      <c r="K89" s="21" t="str">
        <f>IF(B89="","",SUMIFS('Input_APM (Zenith)'!N:N,'Input_APM (Zenith)'!L:L,Check!B89,'Input_APM (Zenith)'!M:M,Check!$F$1))</f>
        <v/>
      </c>
      <c r="L89" s="21" t="str">
        <f>IF(B89="","",SUMIFS('Input_APM (Zenith)'!N:N,'Input_APM (Zenith)'!L:L,Check!B89,'Input_APM (Zenith)'!M:M,Check!$G$1))</f>
        <v/>
      </c>
      <c r="M89" s="212" t="str">
        <f t="shared" si="16"/>
        <v/>
      </c>
      <c r="O89"/>
      <c r="P89" s="212" t="str">
        <f>IF(O89="","",IF(OR(LEFT(O89,4)="Cash",LEFT(O89,4)="Prov"),0,SUMIFS(Input_APM!N:N,Input_APM!L:L,Check!O89)))</f>
        <v/>
      </c>
      <c r="Q89" s="21" t="str">
        <f>IF(O89="","",IF(LEN(O89)&gt;9,SUMIFS(Options!$H$3:$H$32,Options!$B$3:$B$32,Check!O89),SUMIFS('Master P&amp;L'!$H$11:$H$106,'Master P&amp;L'!$B$11:$B$106,Check!O89)))</f>
        <v/>
      </c>
      <c r="R89" s="212" t="str">
        <f t="shared" si="10"/>
        <v/>
      </c>
      <c r="S89" s="355" t="str">
        <f t="shared" si="11"/>
        <v/>
      </c>
    </row>
    <row r="90" spans="2:19">
      <c r="B90"/>
      <c r="C90" s="228" t="str">
        <f>IF(B90="","",IF(LEN(B90)&gt;9,SUMIFS(Options!$H$3:$H$32,Options!$B$3:$B$32,Check!B90),SUMIFS('Master P&amp;L'!$H$11:$H$106,'Master P&amp;L'!$B$11:$B$106,Check!B90)))</f>
        <v/>
      </c>
      <c r="D90" s="228" t="str">
        <f>IF(B90="","",SUMIFS(Input_APM!N:N,Input_APM!L:L,Check!B90,Input_APM!M:M,Check!$F$1))</f>
        <v/>
      </c>
      <c r="E90" s="212" t="str">
        <f t="shared" ref="E90:E95" si="17">IF(B90="","",C90-M90)</f>
        <v/>
      </c>
      <c r="F90" s="228" t="str">
        <f>IF(B90="","",SUMIFS(Input_APM!N:N,Input_APM!M:M,Check!$F$1,Input_APM!L:L,Check!B90))</f>
        <v/>
      </c>
      <c r="G90" s="228" t="str">
        <f>IF(B90="","",SUMIFS(Input_APM!N:N,Input_APM!M:M,Check!$G$1,Input_APM!L:L,Check!B90))</f>
        <v/>
      </c>
      <c r="H90" s="212" t="str">
        <f t="shared" ref="H90:H95" si="18">IF(B90="","",F90-G90)</f>
        <v/>
      </c>
      <c r="I90" s="212">
        <f>SUMIFS(Input_APM!N:N,Input_APM!L:L,Check!B90)</f>
        <v>0</v>
      </c>
      <c r="J90" s="214" t="str">
        <f t="shared" ref="J90:J95" si="19">IF(B90="","",(F90+G90)-I90)</f>
        <v/>
      </c>
      <c r="K90" s="21" t="str">
        <f>IF(B90="","",SUMIFS('Input_APM (Zenith)'!N:N,'Input_APM (Zenith)'!L:L,Check!B90,'Input_APM (Zenith)'!M:M,Check!$F$1))</f>
        <v/>
      </c>
      <c r="L90" s="21" t="str">
        <f>IF(B90="","",SUMIFS('Input_APM (Zenith)'!N:N,'Input_APM (Zenith)'!L:L,Check!B90,'Input_APM (Zenith)'!M:M,Check!$G$1))</f>
        <v/>
      </c>
      <c r="M90" s="212" t="str">
        <f t="shared" ref="M90:M95" si="20">IF(B90="","",F90+G90+K90+L90)</f>
        <v/>
      </c>
      <c r="O90"/>
      <c r="P90" s="212" t="str">
        <f>IF(O90="","",IF(OR(LEFT(O90,4)="Cash",LEFT(O90,4)="Prov"),0,SUMIFS(Input_APM!N:N,Input_APM!L:L,Check!O90)))</f>
        <v/>
      </c>
      <c r="Q90" s="21" t="str">
        <f>IF(O90="","",IF(LEN(O90)&gt;9,SUMIFS(Options!$H$3:$H$32,Options!$B$3:$B$32,Check!O90),SUMIFS('Master P&amp;L'!$H$11:$H$106,'Master P&amp;L'!$B$11:$B$106,Check!O90)))</f>
        <v/>
      </c>
      <c r="R90" s="212" t="str">
        <f t="shared" si="10"/>
        <v/>
      </c>
      <c r="S90" s="355" t="str">
        <f t="shared" si="11"/>
        <v/>
      </c>
    </row>
    <row r="91" spans="2:19">
      <c r="B91"/>
      <c r="C91" s="228" t="str">
        <f>IF(B91="","",IF(LEN(B91)&gt;9,SUMIFS(Options!$H$3:$H$32,Options!$B$3:$B$32,Check!B91),SUMIFS('Master P&amp;L'!$H$11:$H$106,'Master P&amp;L'!$B$11:$B$106,Check!B91)))</f>
        <v/>
      </c>
      <c r="D91" s="228" t="str">
        <f>IF(B91="","",SUMIFS(Input_APM!N:N,Input_APM!L:L,Check!B91,Input_APM!M:M,Check!$F$1))</f>
        <v/>
      </c>
      <c r="E91" s="212" t="str">
        <f t="shared" si="17"/>
        <v/>
      </c>
      <c r="F91" s="228" t="str">
        <f>IF(B91="","",SUMIFS(Input_APM!N:N,Input_APM!M:M,Check!$F$1,Input_APM!L:L,Check!B91))</f>
        <v/>
      </c>
      <c r="G91" s="228" t="str">
        <f>IF(B91="","",SUMIFS(Input_APM!N:N,Input_APM!M:M,Check!$G$1,Input_APM!L:L,Check!B91))</f>
        <v/>
      </c>
      <c r="H91" s="212" t="str">
        <f t="shared" si="18"/>
        <v/>
      </c>
      <c r="I91" s="212">
        <f>SUMIFS(Input_APM!N:N,Input_APM!L:L,Check!B91)</f>
        <v>0</v>
      </c>
      <c r="J91" s="214" t="str">
        <f t="shared" si="19"/>
        <v/>
      </c>
      <c r="K91" s="21" t="str">
        <f>IF(B91="","",SUMIFS('Input_APM (Zenith)'!N:N,'Input_APM (Zenith)'!L:L,Check!B91,'Input_APM (Zenith)'!M:M,Check!$F$1))</f>
        <v/>
      </c>
      <c r="L91" s="21" t="str">
        <f>IF(B91="","",SUMIFS('Input_APM (Zenith)'!N:N,'Input_APM (Zenith)'!L:L,Check!B91,'Input_APM (Zenith)'!M:M,Check!$G$1))</f>
        <v/>
      </c>
      <c r="M91" s="212" t="str">
        <f t="shared" si="20"/>
        <v/>
      </c>
      <c r="O91"/>
      <c r="P91" s="212" t="str">
        <f>IF(O91="","",IF(OR(LEFT(O91,4)="Cash",LEFT(O91,4)="Prov"),0,SUMIFS(Input_APM!N:N,Input_APM!L:L,Check!O91)))</f>
        <v/>
      </c>
      <c r="Q91" s="21" t="str">
        <f>IF(O91="","",IF(LEN(O91)&gt;9,SUMIFS(Options!$H$3:$H$32,Options!$B$3:$B$32,Check!O91),SUMIFS('Master P&amp;L'!$H$11:$H$106,'Master P&amp;L'!$B$11:$B$106,Check!O91)))</f>
        <v/>
      </c>
      <c r="R91" s="212" t="str">
        <f t="shared" si="10"/>
        <v/>
      </c>
      <c r="S91" s="355" t="str">
        <f t="shared" si="11"/>
        <v/>
      </c>
    </row>
    <row r="92" spans="2:19">
      <c r="B92"/>
      <c r="C92" s="228" t="str">
        <f>IF(B92="","",IF(LEN(B92)&gt;9,SUMIFS(Options!$H$3:$H$32,Options!$B$3:$B$32,Check!B92),SUMIFS('Master P&amp;L'!$H$11:$H$106,'Master P&amp;L'!$B$11:$B$106,Check!B92)))</f>
        <v/>
      </c>
      <c r="D92" s="228" t="str">
        <f>IF(B92="","",SUMIFS(Input_APM!N:N,Input_APM!L:L,Check!B92,Input_APM!M:M,Check!$F$1))</f>
        <v/>
      </c>
      <c r="E92" s="212" t="str">
        <f t="shared" si="17"/>
        <v/>
      </c>
      <c r="F92" s="228" t="str">
        <f>IF(B92="","",SUMIFS(Input_APM!N:N,Input_APM!M:M,Check!$F$1,Input_APM!L:L,Check!B92))</f>
        <v/>
      </c>
      <c r="G92" s="228" t="str">
        <f>IF(B92="","",SUMIFS(Input_APM!N:N,Input_APM!M:M,Check!$G$1,Input_APM!L:L,Check!B92))</f>
        <v/>
      </c>
      <c r="H92" s="212" t="str">
        <f t="shared" si="18"/>
        <v/>
      </c>
      <c r="I92" s="212">
        <f>SUMIFS(Input_APM!N:N,Input_APM!L:L,Check!B92)</f>
        <v>0</v>
      </c>
      <c r="J92" s="214" t="str">
        <f t="shared" si="19"/>
        <v/>
      </c>
      <c r="K92" s="21" t="str">
        <f>IF(B92="","",SUMIFS('Input_APM (Zenith)'!N:N,'Input_APM (Zenith)'!L:L,Check!B92,'Input_APM (Zenith)'!M:M,Check!$F$1))</f>
        <v/>
      </c>
      <c r="L92" s="21" t="str">
        <f>IF(B92="","",SUMIFS('Input_APM (Zenith)'!N:N,'Input_APM (Zenith)'!L:L,Check!B92,'Input_APM (Zenith)'!M:M,Check!$G$1))</f>
        <v/>
      </c>
      <c r="M92" s="212" t="str">
        <f t="shared" si="20"/>
        <v/>
      </c>
      <c r="O92"/>
      <c r="P92" s="212" t="str">
        <f>IF(O92="","",IF(OR(LEFT(O92,4)="Cash",LEFT(O92,4)="Prov"),0,SUMIFS(Input_APM!N:N,Input_APM!L:L,Check!O92)))</f>
        <v/>
      </c>
      <c r="Q92" s="21" t="str">
        <f>IF(O92="","",IF(LEN(O92)&gt;9,SUMIFS(Options!$H$3:$H$32,Options!$B$3:$B$32,Check!O92),SUMIFS('Master P&amp;L'!$H$11:$H$106,'Master P&amp;L'!$B$11:$B$106,Check!O92)))</f>
        <v/>
      </c>
      <c r="R92" s="212" t="str">
        <f t="shared" si="10"/>
        <v/>
      </c>
      <c r="S92" s="355" t="str">
        <f t="shared" si="11"/>
        <v/>
      </c>
    </row>
    <row r="93" spans="2:19">
      <c r="B93"/>
      <c r="C93" s="228" t="str">
        <f>IF(B93="","",IF(LEN(B93)&gt;9,SUMIFS(Options!$H$3:$H$32,Options!$B$3:$B$32,Check!B93),SUMIFS('Master P&amp;L'!$H$11:$H$106,'Master P&amp;L'!$B$11:$B$106,Check!B93)))</f>
        <v/>
      </c>
      <c r="D93" s="228" t="str">
        <f>IF(B93="","",SUMIFS(Input_APM!N:N,Input_APM!L:L,Check!B93,Input_APM!M:M,Check!$F$1))</f>
        <v/>
      </c>
      <c r="E93" s="212" t="str">
        <f t="shared" si="17"/>
        <v/>
      </c>
      <c r="F93" s="228" t="str">
        <f>IF(B93="","",SUMIFS(Input_APM!N:N,Input_APM!M:M,Check!$F$1,Input_APM!L:L,Check!B93))</f>
        <v/>
      </c>
      <c r="G93" s="228" t="str">
        <f>IF(B93="","",SUMIFS(Input_APM!N:N,Input_APM!M:M,Check!$G$1,Input_APM!L:L,Check!B93))</f>
        <v/>
      </c>
      <c r="H93" s="212" t="str">
        <f t="shared" si="18"/>
        <v/>
      </c>
      <c r="I93" s="212">
        <f>SUMIFS(Input_APM!N:N,Input_APM!L:L,Check!B93)</f>
        <v>0</v>
      </c>
      <c r="J93" s="214" t="str">
        <f t="shared" si="19"/>
        <v/>
      </c>
      <c r="K93" s="21" t="str">
        <f>IF(B93="","",SUMIFS('Input_APM (Zenith)'!N:N,'Input_APM (Zenith)'!L:L,Check!B93,'Input_APM (Zenith)'!M:M,Check!$F$1))</f>
        <v/>
      </c>
      <c r="L93" s="21" t="str">
        <f>IF(B93="","",SUMIFS('Input_APM (Zenith)'!N:N,'Input_APM (Zenith)'!L:L,Check!B93,'Input_APM (Zenith)'!M:M,Check!$G$1))</f>
        <v/>
      </c>
      <c r="M93" s="212" t="str">
        <f t="shared" si="20"/>
        <v/>
      </c>
      <c r="O93"/>
      <c r="P93" s="212" t="str">
        <f>IF(O93="","",IF(OR(LEFT(O93,4)="Cash",LEFT(O93,4)="Prov"),0,SUMIFS(Input_APM!N:N,Input_APM!L:L,Check!O93)))</f>
        <v/>
      </c>
      <c r="Q93" s="21" t="str">
        <f>IF(O93="","",IF(LEN(O93)&gt;9,SUMIFS(Options!$H$3:$H$32,Options!$B$3:$B$32,Check!O93),SUMIFS('Master P&amp;L'!$H$11:$H$106,'Master P&amp;L'!$B$11:$B$106,Check!O93)))</f>
        <v/>
      </c>
      <c r="R93" s="212" t="str">
        <f t="shared" si="10"/>
        <v/>
      </c>
      <c r="S93" s="355" t="str">
        <f t="shared" si="11"/>
        <v/>
      </c>
    </row>
    <row r="94" spans="2:19">
      <c r="B94"/>
      <c r="C94" s="228" t="str">
        <f>IF(B94="","",IF(LEN(B94)&gt;9,SUMIFS(Options!$H$3:$H$32,Options!$B$3:$B$32,Check!B94),SUMIFS('Master P&amp;L'!$H$11:$H$106,'Master P&amp;L'!$B$11:$B$106,Check!B94)))</f>
        <v/>
      </c>
      <c r="D94" s="228" t="str">
        <f>IF(B94="","",SUMIFS(Input_APM!N:N,Input_APM!L:L,Check!B94,Input_APM!M:M,Check!$F$1))</f>
        <v/>
      </c>
      <c r="E94" s="212" t="str">
        <f t="shared" si="17"/>
        <v/>
      </c>
      <c r="F94" s="228" t="str">
        <f>IF(B94="","",SUMIFS(Input_APM!N:N,Input_APM!M:M,Check!$F$1,Input_APM!L:L,Check!B94))</f>
        <v/>
      </c>
      <c r="G94" s="228" t="str">
        <f>IF(B94="","",SUMIFS(Input_APM!N:N,Input_APM!M:M,Check!$G$1,Input_APM!L:L,Check!B94))</f>
        <v/>
      </c>
      <c r="H94" s="212" t="str">
        <f t="shared" si="18"/>
        <v/>
      </c>
      <c r="I94" s="212">
        <f>SUMIFS(Input_APM!N:N,Input_APM!L:L,Check!B94)</f>
        <v>0</v>
      </c>
      <c r="J94" s="214" t="str">
        <f t="shared" si="19"/>
        <v/>
      </c>
      <c r="K94" s="21" t="str">
        <f>IF(B94="","",SUMIFS('Input_APM (Zenith)'!N:N,'Input_APM (Zenith)'!L:L,Check!B94,'Input_APM (Zenith)'!M:M,Check!$F$1))</f>
        <v/>
      </c>
      <c r="L94" s="21" t="str">
        <f>IF(B94="","",SUMIFS('Input_APM (Zenith)'!N:N,'Input_APM (Zenith)'!L:L,Check!B94,'Input_APM (Zenith)'!M:M,Check!$G$1))</f>
        <v/>
      </c>
      <c r="M94" s="212" t="str">
        <f t="shared" si="20"/>
        <v/>
      </c>
      <c r="O94"/>
      <c r="P94" s="212" t="str">
        <f>IF(O94="","",IF(OR(LEFT(O94,4)="Cash",LEFT(O94,4)="Prov"),0,SUMIFS(Input_APM!N:N,Input_APM!L:L,Check!O94)))</f>
        <v/>
      </c>
      <c r="Q94" s="21" t="str">
        <f>IF(O94="","",IF(LEN(O94)&gt;9,SUMIFS(Options!$H$3:$H$32,Options!$B$3:$B$32,Check!O94),SUMIFS('Master P&amp;L'!$H$11:$H$106,'Master P&amp;L'!$B$11:$B$106,Check!O94)))</f>
        <v/>
      </c>
      <c r="R94" s="212" t="str">
        <f t="shared" si="10"/>
        <v/>
      </c>
      <c r="S94" s="355" t="str">
        <f t="shared" si="11"/>
        <v/>
      </c>
    </row>
    <row r="95" spans="2:19">
      <c r="C95" s="228" t="str">
        <f>IF(B95="","",IF(LEN(B95)&gt;9,SUMIFS(Options!$H$3:$H$32,Options!$B$3:$B$32,Check!B95),SUMIFS('Master P&amp;L'!$H$11:$H$106,'Master P&amp;L'!$B$11:$B$106,Check!B95)))</f>
        <v/>
      </c>
      <c r="D95" s="228" t="str">
        <f>IF(B95="","",SUMIFS(Input_APM!N:N,Input_APM!L:L,Check!B95,Input_APM!M:M,Check!$F$1))</f>
        <v/>
      </c>
      <c r="E95" s="212" t="str">
        <f t="shared" si="17"/>
        <v/>
      </c>
      <c r="F95" s="228" t="str">
        <f>IF(B95="","",SUMIFS(Input_APM!N:N,Input_APM!M:M,Check!$F$1,Input_APM!L:L,Check!B95))</f>
        <v/>
      </c>
      <c r="G95" s="228" t="str">
        <f>IF(B95="","",SUMIFS(Input_APM!N:N,Input_APM!M:M,Check!$G$1,Input_APM!L:L,Check!B95))</f>
        <v/>
      </c>
      <c r="H95" s="212" t="str">
        <f t="shared" si="18"/>
        <v/>
      </c>
      <c r="I95" s="212">
        <f>SUMIFS(Input_APM!N:N,Input_APM!L:L,Check!B95)</f>
        <v>0</v>
      </c>
      <c r="J95" s="214" t="str">
        <f t="shared" si="19"/>
        <v/>
      </c>
      <c r="K95" s="21" t="str">
        <f>IF(B95="","",SUMIFS('Input_APM (Zenith)'!N:N,'Input_APM (Zenith)'!L:L,Check!B95,'Input_APM (Zenith)'!M:M,Check!$F$1))</f>
        <v/>
      </c>
      <c r="L95" s="21" t="str">
        <f>IF(B95="","",SUMIFS('Input_APM (Zenith)'!N:N,'Input_APM (Zenith)'!L:L,Check!B95,'Input_APM (Zenith)'!M:M,Check!$G$1))</f>
        <v/>
      </c>
      <c r="M95" s="212" t="str">
        <f t="shared" si="20"/>
        <v/>
      </c>
      <c r="O95"/>
      <c r="P95" s="212" t="str">
        <f>IF(O95="","",IF(OR(LEFT(O95,4)="Cash",LEFT(O95,4)="Prov"),0,SUMIFS(Input_APM!N:N,Input_APM!L:L,Check!O95)))</f>
        <v/>
      </c>
      <c r="Q95" s="21" t="str">
        <f>IF(O95="","",IF(LEN(O95)&gt;9,SUMIFS(Options!$H$3:$H$32,Options!$B$3:$B$32,Check!O95),SUMIFS('Master P&amp;L'!$H$11:$H$106,'Master P&amp;L'!$B$11:$B$106,Check!O95)))</f>
        <v/>
      </c>
      <c r="R95" s="212" t="str">
        <f t="shared" si="10"/>
        <v/>
      </c>
      <c r="S95" s="355" t="str">
        <f t="shared" si="11"/>
        <v/>
      </c>
    </row>
    <row r="96" spans="2:19">
      <c r="C96" s="228" t="str">
        <f>IF(B96="","",IF(LEN(B96)&gt;9,SUMIFS(Options!$H$3:$H$32,Options!$B$3:$B$32,Check!B96),SUMIFS('Master P&amp;L'!$H$11:$H$106,'Master P&amp;L'!$B$11:$B$106,Check!B96)))</f>
        <v/>
      </c>
      <c r="D96" s="228" t="str">
        <f>IF(B96="","",SUMIFS(Input_APM!N:N,Input_APM!L:L,Check!B96,Input_APM!M:M,Check!$F$1))</f>
        <v/>
      </c>
      <c r="E96" s="212" t="str">
        <f>IF(B96="","",C96-M96)</f>
        <v/>
      </c>
      <c r="F96" s="228" t="str">
        <f>IF(B96="","",SUMIFS(Input_APM!N:N,Input_APM!M:M,Check!$F$1,Input_APM!L:L,Check!B96))</f>
        <v/>
      </c>
      <c r="G96" s="228" t="str">
        <f>IF(B96="","",SUMIFS(Input_APM!N:N,Input_APM!M:M,Check!$G$1,Input_APM!L:L,Check!B96))</f>
        <v/>
      </c>
      <c r="H96" s="212" t="str">
        <f>IF(B96="","",F96-G96)</f>
        <v/>
      </c>
      <c r="I96" s="212">
        <f>SUMIFS(Input_APM!N:N,Input_APM!L:L,Check!B96)</f>
        <v>0</v>
      </c>
      <c r="J96" s="214" t="str">
        <f>IF(B96="","",(F96+G96)-I96)</f>
        <v/>
      </c>
      <c r="K96" s="21" t="str">
        <f>IF(B96="","",SUMIFS('Input_APM (Zenith)'!N:N,'Input_APM (Zenith)'!L:L,Check!B96,'Input_APM (Zenith)'!M:M,Check!$F$1))</f>
        <v/>
      </c>
      <c r="L96" s="21" t="str">
        <f>IF(B96="","",SUMIFS('Input_APM (Zenith)'!N:N,'Input_APM (Zenith)'!L:L,Check!B96,'Input_APM (Zenith)'!M:M,Check!$G$1))</f>
        <v/>
      </c>
      <c r="M96" s="212" t="str">
        <f>IF(B96="","",F96+G96+K96+L96)</f>
        <v/>
      </c>
      <c r="O96"/>
      <c r="P96" s="212" t="str">
        <f>IF(O96="","",IF(OR(LEFT(O96,4)="Cash",LEFT(O96,4)="Prov"),0,SUMIFS(Input_APM!N:N,Input_APM!L:L,Check!O96)))</f>
        <v/>
      </c>
      <c r="Q96" s="21" t="str">
        <f>IF(O96="","",IF(LEN(O96)&gt;9,SUMIFS(Options!$H$3:$H$32,Options!$B$3:$B$32,Check!O96),SUMIFS('Master P&amp;L'!$H$11:$H$106,'Master P&amp;L'!$B$11:$B$106,Check!O96)))</f>
        <v/>
      </c>
      <c r="R96" s="212" t="str">
        <f t="shared" si="10"/>
        <v/>
      </c>
      <c r="S96" s="355" t="str">
        <f t="shared" si="11"/>
        <v/>
      </c>
    </row>
    <row r="97" spans="1:19">
      <c r="C97" s="228" t="str">
        <f>IF(B97="","",IF(LEN(B97)&gt;9,SUMIFS(Options!$H$3:$H$32,Options!$B$3:$B$32,Check!B97),SUMIFS('Master P&amp;L'!$H$11:$H$106,'Master P&amp;L'!$B$11:$B$106,Check!B97)))</f>
        <v/>
      </c>
      <c r="D97" s="228" t="str">
        <f>IF(B97="","",SUMIFS(Input_APM!N:N,Input_APM!L:L,Check!B97,Input_APM!M:M,Check!$F$1))</f>
        <v/>
      </c>
      <c r="E97" s="212" t="str">
        <f>IF(B97="","",C97-M97)</f>
        <v/>
      </c>
      <c r="F97" s="228" t="str">
        <f>IF(B97="","",SUMIFS(Input_APM!N:N,Input_APM!M:M,Check!$F$1,Input_APM!L:L,Check!B97))</f>
        <v/>
      </c>
      <c r="G97" s="228" t="str">
        <f>IF(B97="","",SUMIFS(Input_APM!N:N,Input_APM!M:M,Check!$G$1,Input_APM!L:L,Check!B97))</f>
        <v/>
      </c>
      <c r="H97" s="212" t="str">
        <f>IF(B97="","",F97-G97)</f>
        <v/>
      </c>
      <c r="I97" s="212">
        <f>SUMIFS(Input_APM!N:N,Input_APM!L:L,Check!B97)</f>
        <v>0</v>
      </c>
      <c r="J97" s="214" t="str">
        <f>IF(B97="","",(F97+G97)-I97)</f>
        <v/>
      </c>
      <c r="K97" s="21" t="str">
        <f>IF(B97="","",SUMIFS('Input_APM (Zenith)'!N:N,'Input_APM (Zenith)'!L:L,Check!B97,'Input_APM (Zenith)'!M:M,Check!$F$1))</f>
        <v/>
      </c>
      <c r="L97" s="21" t="str">
        <f>IF(B97="","",SUMIFS('Input_APM (Zenith)'!N:N,'Input_APM (Zenith)'!L:L,Check!B97,'Input_APM (Zenith)'!M:M,Check!$G$1))</f>
        <v/>
      </c>
      <c r="M97" s="212" t="str">
        <f>IF(B97="","",F97+G97+K97+L97)</f>
        <v/>
      </c>
      <c r="O97"/>
      <c r="P97" s="212" t="str">
        <f>IF(O97="","",IF(OR(LEFT(O97,4)="Cash",LEFT(O97,4)="Prov"),0,SUMIFS(Input_APM!N:N,Input_APM!L:L,Check!O97)))</f>
        <v/>
      </c>
      <c r="Q97" s="21" t="str">
        <f>IF(O97="","",IF(LEN(O97)&gt;9,SUMIFS(Options!$H$3:$H$32,Options!$B$3:$B$32,Check!O97),SUMIFS('Master P&amp;L'!$H$11:$H$106,'Master P&amp;L'!$B$11:$B$106,Check!O97)))</f>
        <v/>
      </c>
      <c r="R97" s="212" t="str">
        <f t="shared" si="10"/>
        <v/>
      </c>
      <c r="S97" s="355" t="str">
        <f t="shared" si="11"/>
        <v/>
      </c>
    </row>
    <row r="98" spans="1:19">
      <c r="C98" s="228" t="str">
        <f>IF(B98="","",IF(LEN(B98)&gt;9,SUMIFS(Options!$H$3:$H$32,Options!$B$3:$B$32,Check!B98),SUMIFS('Master P&amp;L'!$H$11:$H$106,'Master P&amp;L'!$B$11:$B$106,Check!B98)))</f>
        <v/>
      </c>
      <c r="D98" s="228" t="str">
        <f>IF(B98="","",SUMIFS(Input_APM!N:N,Input_APM!L:L,Check!B98,Input_APM!M:M,Check!$F$1))</f>
        <v/>
      </c>
      <c r="E98" s="212" t="str">
        <f>IF(B98="","",C98-M98)</f>
        <v/>
      </c>
      <c r="F98" s="228" t="str">
        <f>IF(B98="","",SUMIFS(Input_APM!N:N,Input_APM!M:M,Check!$F$1,Input_APM!L:L,Check!B98))</f>
        <v/>
      </c>
      <c r="G98" s="228" t="str">
        <f>IF(B98="","",SUMIFS(Input_APM!N:N,Input_APM!M:M,Check!$G$1,Input_APM!L:L,Check!B98))</f>
        <v/>
      </c>
      <c r="H98" s="212" t="str">
        <f>IF(B98="","",F98-G98)</f>
        <v/>
      </c>
      <c r="I98" s="212">
        <f>SUMIFS(Input_APM!N:N,Input_APM!L:L,Check!B98)</f>
        <v>0</v>
      </c>
      <c r="J98" s="214" t="str">
        <f>IF(B98="","",(F98+G98)-I98)</f>
        <v/>
      </c>
      <c r="K98" s="21" t="str">
        <f>IF(B98="","",SUMIFS('Input_APM (Zenith)'!N:N,'Input_APM (Zenith)'!L:L,Check!B98,'Input_APM (Zenith)'!M:M,Check!$F$1))</f>
        <v/>
      </c>
      <c r="L98" s="21" t="str">
        <f>IF(B98="","",SUMIFS('Input_APM (Zenith)'!N:N,'Input_APM (Zenith)'!L:L,Check!B98,'Input_APM (Zenith)'!M:M,Check!$G$1))</f>
        <v/>
      </c>
      <c r="M98" s="212" t="str">
        <f>IF(B98="","",F98+G98+K98+L98)</f>
        <v/>
      </c>
      <c r="O98"/>
      <c r="P98" s="212" t="str">
        <f>IF(O98="","",IF(OR(LEFT(O98,4)="Cash",LEFT(O98,4)="Prov"),0,SUMIFS(Input_APM!N:N,Input_APM!L:L,Check!O98)))</f>
        <v/>
      </c>
      <c r="Q98" s="21" t="str">
        <f>IF(O98="","",IF(LEN(O98)&gt;9,SUMIFS(Options!$H$3:$H$32,Options!$B$3:$B$32,Check!O98),SUMIFS('Master P&amp;L'!$H$11:$H$106,'Master P&amp;L'!$B$11:$B$106,Check!O98)))</f>
        <v/>
      </c>
      <c r="R98" s="212" t="str">
        <f t="shared" si="10"/>
        <v/>
      </c>
      <c r="S98" s="355" t="str">
        <f t="shared" si="11"/>
        <v/>
      </c>
    </row>
    <row r="99" spans="1:19">
      <c r="C99" s="228" t="str">
        <f>IF(B99="","",IF(LEN(B99)&gt;9,SUMIFS(Options!$H$3:$H$32,Options!$B$3:$B$32,Check!B99),SUMIFS('Master P&amp;L'!$H$11:$H$106,'Master P&amp;L'!$B$11:$B$106,Check!B99)))</f>
        <v/>
      </c>
      <c r="D99" s="228" t="str">
        <f>IF(B99="","",SUMIFS(Input_APM!N:N,Input_APM!L:L,Check!B99,Input_APM!M:M,Check!$F$1))</f>
        <v/>
      </c>
      <c r="E99" s="212" t="str">
        <f t="shared" ref="E99:E113" si="21">IF(B99="","",C99-M99)</f>
        <v/>
      </c>
      <c r="F99" s="228" t="str">
        <f>IF(B99="","",SUMIFS(Input_APM!N:N,Input_APM!M:M,Check!$F$1,Input_APM!L:L,Check!B99))</f>
        <v/>
      </c>
      <c r="G99" s="228" t="str">
        <f>IF(B99="","",SUMIFS(Input_APM!N:N,Input_APM!M:M,Check!$G$1,Input_APM!L:L,Check!B99))</f>
        <v/>
      </c>
      <c r="H99" s="212" t="str">
        <f t="shared" ref="H99:H113" si="22">IF(B99="","",F99-G99)</f>
        <v/>
      </c>
      <c r="I99" s="212">
        <f>SUMIFS(Input_APM!N:N,Input_APM!L:L,Check!B99)</f>
        <v>0</v>
      </c>
      <c r="J99" s="214" t="str">
        <f t="shared" ref="J99:J113" si="23">IF(B99="","",(F99+G99)-I99)</f>
        <v/>
      </c>
      <c r="K99" s="21" t="str">
        <f>IF(B99="","",SUMIFS('Input_APM (Zenith)'!N:N,'Input_APM (Zenith)'!L:L,Check!B99,'Input_APM (Zenith)'!M:M,Check!$F$1))</f>
        <v/>
      </c>
      <c r="L99" s="21" t="str">
        <f>IF(B99="","",SUMIFS('Input_APM (Zenith)'!N:N,'Input_APM (Zenith)'!L:L,Check!B99,'Input_APM (Zenith)'!M:M,Check!$G$1))</f>
        <v/>
      </c>
      <c r="M99" s="212" t="str">
        <f t="shared" ref="M99:M113" si="24">IF(B99="","",F99+G99+K99+L99)</f>
        <v/>
      </c>
      <c r="O99"/>
      <c r="P99" s="212" t="str">
        <f>IF(O99="","",IF(OR(LEFT(O99,4)="Cash",LEFT(O99,4)="Prov"),0,SUMIFS(Input_APM!N:N,Input_APM!L:L,Check!O99)))</f>
        <v/>
      </c>
      <c r="Q99" s="21" t="str">
        <f>IF(O99="","",IF(LEN(O99)&gt;9,SUMIFS(Options!$H$3:$H$32,Options!$B$3:$B$32,Check!O99),SUMIFS('Master P&amp;L'!$H$11:$H$106,'Master P&amp;L'!$B$11:$B$106,Check!O99)))</f>
        <v/>
      </c>
      <c r="R99" s="212" t="str">
        <f t="shared" si="10"/>
        <v/>
      </c>
      <c r="S99" s="355" t="str">
        <f t="shared" si="11"/>
        <v/>
      </c>
    </row>
    <row r="100" spans="1:19">
      <c r="C100" s="228" t="str">
        <f>IF(B100="","",IF(LEN(B100)&gt;9,SUMIFS(Options!$H$3:$H$32,Options!$B$3:$B$32,Check!B100),SUMIFS('Master P&amp;L'!$H$11:$H$106,'Master P&amp;L'!$B$11:$B$106,Check!B100)))</f>
        <v/>
      </c>
      <c r="D100" s="228" t="str">
        <f>IF(B100="","",SUMIFS(Input_APM!N:N,Input_APM!L:L,Check!B100,Input_APM!M:M,Check!$F$1))</f>
        <v/>
      </c>
      <c r="E100" s="212" t="str">
        <f>IF(B100="","",C100-M100)</f>
        <v/>
      </c>
      <c r="F100" s="228" t="str">
        <f>IF(B100="","",SUMIFS(Input_APM!N:N,Input_APM!M:M,Check!$F$1,Input_APM!L:L,Check!B100))</f>
        <v/>
      </c>
      <c r="G100" s="228" t="str">
        <f>IF(B100="","",SUMIFS(Input_APM!N:N,Input_APM!M:M,Check!$G$1,Input_APM!L:L,Check!B100))</f>
        <v/>
      </c>
      <c r="H100" s="212" t="str">
        <f t="shared" si="22"/>
        <v/>
      </c>
      <c r="I100" s="212">
        <f>SUMIFS(Input_APM!N:N,Input_APM!L:L,Check!B100)</f>
        <v>0</v>
      </c>
      <c r="J100" s="214" t="str">
        <f t="shared" si="23"/>
        <v/>
      </c>
      <c r="K100" s="21" t="str">
        <f>IF(B100="","",SUMIFS('Input_APM (Zenith)'!N:N,'Input_APM (Zenith)'!L:L,Check!B100,'Input_APM (Zenith)'!M:M,Check!$F$1))</f>
        <v/>
      </c>
      <c r="L100" s="21" t="str">
        <f>IF(B100="","",SUMIFS('Input_APM (Zenith)'!N:N,'Input_APM (Zenith)'!L:L,Check!B100,'Input_APM (Zenith)'!M:M,Check!$G$1))</f>
        <v/>
      </c>
      <c r="M100" s="212" t="str">
        <f t="shared" si="24"/>
        <v/>
      </c>
      <c r="O100"/>
      <c r="P100" s="212" t="str">
        <f>IF(O100="","",IF(OR(LEFT(O100,4)="Cash",LEFT(O100,4)="Prov"),0,SUMIFS(Input_APM!N:N,Input_APM!L:L,Check!O100)))</f>
        <v/>
      </c>
      <c r="Q100" s="21" t="str">
        <f>IF(O100="","",IF(LEN(O100)&gt;9,SUMIFS(Options!$H$3:$H$32,Options!$B$3:$B$32,Check!O100),SUMIFS('Master P&amp;L'!$H$11:$H$106,'Master P&amp;L'!$B$11:$B$106,Check!O100)))</f>
        <v/>
      </c>
      <c r="R100" s="212" t="str">
        <f t="shared" ref="R100:R107" si="25">IF(O100="","",P100-Q100)</f>
        <v/>
      </c>
      <c r="S100" s="355" t="str">
        <f t="shared" si="11"/>
        <v/>
      </c>
    </row>
    <row r="101" spans="1:19">
      <c r="C101" s="228" t="str">
        <f>IF(B101="","",IF(LEN(B101)&gt;9,SUMIFS(Options!$H$3:$H$32,Options!$B$3:$B$32,Check!B101),SUMIFS('Master P&amp;L'!$H$11:$H$106,'Master P&amp;L'!$B$11:$B$106,Check!B101)))</f>
        <v/>
      </c>
      <c r="D101" s="228" t="str">
        <f>IF(B101="","",SUMIFS(Input_APM!N:N,Input_APM!L:L,Check!B101,Input_APM!M:M,Check!$F$1))</f>
        <v/>
      </c>
      <c r="E101" s="212" t="str">
        <f t="shared" si="21"/>
        <v/>
      </c>
      <c r="F101" s="228" t="str">
        <f>IF(B101="","",SUMIFS(Input_APM!N:N,Input_APM!M:M,Check!$F$1,Input_APM!L:L,Check!B101))</f>
        <v/>
      </c>
      <c r="G101" s="228" t="str">
        <f>IF(B101="","",SUMIFS(Input_APM!N:N,Input_APM!M:M,Check!$G$1,Input_APM!L:L,Check!B101))</f>
        <v/>
      </c>
      <c r="H101" s="212" t="str">
        <f t="shared" si="22"/>
        <v/>
      </c>
      <c r="I101" s="212">
        <f>SUMIFS(Input_APM!N:N,Input_APM!L:L,Check!B101)</f>
        <v>0</v>
      </c>
      <c r="J101" s="214" t="str">
        <f t="shared" si="23"/>
        <v/>
      </c>
      <c r="K101" s="21" t="str">
        <f>IF(B101="","",SUMIFS('Input_APM (Zenith)'!N:N,'Input_APM (Zenith)'!L:L,Check!B101,'Input_APM (Zenith)'!M:M,Check!$F$1))</f>
        <v/>
      </c>
      <c r="L101" s="21" t="str">
        <f>IF(B101="","",SUMIFS('Input_APM (Zenith)'!N:N,'Input_APM (Zenith)'!L:L,Check!B101,'Input_APM (Zenith)'!M:M,Check!$G$1))</f>
        <v/>
      </c>
      <c r="M101" s="212" t="str">
        <f t="shared" si="24"/>
        <v/>
      </c>
      <c r="O101"/>
      <c r="P101" s="212" t="str">
        <f>IF(O101="","",IF(OR(LEFT(O101,4)="Cash",LEFT(O101,4)="Prov"),0,SUMIFS(Input_APM!N:N,Input_APM!L:L,Check!O101)))</f>
        <v/>
      </c>
      <c r="Q101" s="21" t="str">
        <f>IF(O101="","",IF(LEN(O101)&gt;9,SUMIFS(Options!$H$3:$H$32,Options!$B$3:$B$32,Check!O101),SUMIFS('Master P&amp;L'!$H$11:$H$106,'Master P&amp;L'!$B$11:$B$106,Check!O101)))</f>
        <v/>
      </c>
      <c r="R101" s="212" t="str">
        <f t="shared" si="25"/>
        <v/>
      </c>
      <c r="S101" s="355" t="str">
        <f t="shared" si="11"/>
        <v/>
      </c>
    </row>
    <row r="102" spans="1:19">
      <c r="C102" s="228" t="str">
        <f>IF(B102="","",IF(LEN(B102)&gt;9,SUMIFS(Options!$H$3:$H$32,Options!$B$3:$B$32,Check!B102),SUMIFS('Master P&amp;L'!$H$11:$H$106,'Master P&amp;L'!$B$11:$B$106,Check!B102)))</f>
        <v/>
      </c>
      <c r="D102" s="228" t="str">
        <f>IF(B102="","",SUMIFS(Input_APM!N:N,Input_APM!L:L,Check!B102,Input_APM!M:M,Check!$F$1))</f>
        <v/>
      </c>
      <c r="E102" s="212" t="str">
        <f t="shared" si="21"/>
        <v/>
      </c>
      <c r="F102" s="228" t="str">
        <f>IF(B102="","",SUMIFS(Input_APM!N:N,Input_APM!M:M,Check!$F$1,Input_APM!L:L,Check!B102))</f>
        <v/>
      </c>
      <c r="G102" s="228" t="str">
        <f>IF(B102="","",SUMIFS(Input_APM!N:N,Input_APM!M:M,Check!$G$1,Input_APM!L:L,Check!B102))</f>
        <v/>
      </c>
      <c r="H102" s="212" t="str">
        <f t="shared" si="22"/>
        <v/>
      </c>
      <c r="I102" s="212">
        <f>SUMIFS(Input_APM!N:N,Input_APM!L:L,Check!B102)</f>
        <v>0</v>
      </c>
      <c r="J102" s="214" t="str">
        <f t="shared" si="23"/>
        <v/>
      </c>
      <c r="K102" s="21" t="str">
        <f>IF(B102="","",SUMIFS('Input_APM (Zenith)'!N:N,'Input_APM (Zenith)'!L:L,Check!B102,'Input_APM (Zenith)'!M:M,Check!$F$1))</f>
        <v/>
      </c>
      <c r="L102" s="21" t="str">
        <f>IF(B102="","",SUMIFS('Input_APM (Zenith)'!N:N,'Input_APM (Zenith)'!L:L,Check!B102,'Input_APM (Zenith)'!M:M,Check!$G$1))</f>
        <v/>
      </c>
      <c r="M102" s="212" t="str">
        <f t="shared" si="24"/>
        <v/>
      </c>
      <c r="O102"/>
      <c r="P102" s="212" t="str">
        <f>IF(O102="","",IF(OR(LEFT(O102,4)="Cash",LEFT(O102,4)="Prov"),0,SUMIFS(Input_APM!N:N,Input_APM!L:L,Check!O102)))</f>
        <v/>
      </c>
      <c r="Q102" s="21" t="str">
        <f>IF(O102="","",IF(LEN(O102)&gt;9,SUMIFS(Options!$H$3:$H$32,Options!$B$3:$B$32,Check!O102),SUMIFS('Master P&amp;L'!$H$11:$H$106,'Master P&amp;L'!$B$11:$B$106,Check!O102)))</f>
        <v/>
      </c>
      <c r="R102" s="212" t="str">
        <f t="shared" si="25"/>
        <v/>
      </c>
      <c r="S102" s="355" t="str">
        <f t="shared" si="11"/>
        <v/>
      </c>
    </row>
    <row r="103" spans="1:19">
      <c r="C103" s="228" t="str">
        <f>IF(B103="","",IF(LEN(B103)&gt;9,SUMIFS(Options!$H$3:$H$32,Options!$B$3:$B$32,Check!B103),SUMIFS('Master P&amp;L'!$H$11:$H$106,'Master P&amp;L'!$B$11:$B$106,Check!B103)))</f>
        <v/>
      </c>
      <c r="D103" s="228" t="str">
        <f>IF(B103="","",SUMIFS(Input_APM!N:N,Input_APM!L:L,Check!B103,Input_APM!M:M,Check!$F$1))</f>
        <v/>
      </c>
      <c r="E103" s="212" t="str">
        <f t="shared" si="21"/>
        <v/>
      </c>
      <c r="F103" s="228" t="str">
        <f>IF(B103="","",SUMIFS(Input_APM!N:N,Input_APM!M:M,Check!$F$1,Input_APM!L:L,Check!B103))</f>
        <v/>
      </c>
      <c r="G103" s="228" t="str">
        <f>IF(B103="","",SUMIFS(Input_APM!N:N,Input_APM!M:M,Check!$G$1,Input_APM!L:L,Check!B103))</f>
        <v/>
      </c>
      <c r="H103" s="212" t="str">
        <f t="shared" si="22"/>
        <v/>
      </c>
      <c r="I103" s="212">
        <f>SUMIFS(Input_APM!N:N,Input_APM!L:L,Check!B103)</f>
        <v>0</v>
      </c>
      <c r="J103" s="214" t="str">
        <f t="shared" si="23"/>
        <v/>
      </c>
      <c r="K103" s="21" t="str">
        <f>IF(B103="","",SUMIFS('Input_APM (Zenith)'!N:N,'Input_APM (Zenith)'!L:L,Check!B103,'Input_APM (Zenith)'!M:M,Check!$F$1))</f>
        <v/>
      </c>
      <c r="L103" s="21" t="str">
        <f>IF(B103="","",SUMIFS('Input_APM (Zenith)'!N:N,'Input_APM (Zenith)'!L:L,Check!B103,'Input_APM (Zenith)'!M:M,Check!$G$1))</f>
        <v/>
      </c>
      <c r="M103" s="212" t="str">
        <f t="shared" si="24"/>
        <v/>
      </c>
      <c r="O103"/>
      <c r="P103" s="212" t="str">
        <f>IF(O103="","",IF(OR(LEFT(O103,4)="Cash",LEFT(O103,4)="Prov"),0,SUMIFS(Input_APM!N:N,Input_APM!L:L,Check!O103)))</f>
        <v/>
      </c>
      <c r="Q103" s="21" t="str">
        <f>IF(O103="","",IF(LEN(O103)&gt;9,SUMIFS(Options!$H$3:$H$32,Options!$B$3:$B$32,Check!O103),SUMIFS('Master P&amp;L'!$H$11:$H$106,'Master P&amp;L'!$B$11:$B$106,Check!O103)))</f>
        <v/>
      </c>
      <c r="R103" s="212" t="str">
        <f t="shared" si="25"/>
        <v/>
      </c>
      <c r="S103" s="355" t="str">
        <f t="shared" si="11"/>
        <v/>
      </c>
    </row>
    <row r="104" spans="1:19">
      <c r="C104" s="228" t="str">
        <f>IF(B104="","",IF(LEN(B104)&gt;9,SUMIFS(Options!$H$3:$H$32,Options!$B$3:$B$32,Check!B104),SUMIFS('Master P&amp;L'!$H$11:$H$106,'Master P&amp;L'!$B$11:$B$106,Check!B104)))</f>
        <v/>
      </c>
      <c r="D104" s="228" t="str">
        <f>IF(B104="","",SUMIFS(Input_APM!N:N,Input_APM!L:L,Check!B104,Input_APM!M:M,Check!$F$1))</f>
        <v/>
      </c>
      <c r="E104" s="212" t="str">
        <f t="shared" si="21"/>
        <v/>
      </c>
      <c r="F104" s="228" t="str">
        <f>IF(B104="","",SUMIFS(Input_APM!N:N,Input_APM!M:M,Check!$F$1,Input_APM!L:L,Check!B104))</f>
        <v/>
      </c>
      <c r="G104" s="228" t="str">
        <f>IF(B104="","",SUMIFS(Input_APM!N:N,Input_APM!M:M,Check!$G$1,Input_APM!L:L,Check!B104))</f>
        <v/>
      </c>
      <c r="H104" s="212" t="str">
        <f t="shared" si="22"/>
        <v/>
      </c>
      <c r="I104" s="212">
        <f>SUMIFS(Input_APM!N:N,Input_APM!L:L,Check!B104)</f>
        <v>0</v>
      </c>
      <c r="J104" s="214" t="str">
        <f t="shared" si="23"/>
        <v/>
      </c>
      <c r="K104" s="21" t="str">
        <f>IF(B104="","",SUMIFS('Input_APM (Zenith)'!N:N,'Input_APM (Zenith)'!L:L,Check!B104,'Input_APM (Zenith)'!M:M,Check!$F$1))</f>
        <v/>
      </c>
      <c r="L104" s="21" t="str">
        <f>IF(B104="","",SUMIFS('Input_APM (Zenith)'!N:N,'Input_APM (Zenith)'!L:L,Check!B104,'Input_APM (Zenith)'!M:M,Check!$G$1))</f>
        <v/>
      </c>
      <c r="M104" s="212" t="str">
        <f t="shared" si="24"/>
        <v/>
      </c>
      <c r="O104"/>
      <c r="P104" s="212" t="str">
        <f>IF(O104="","",IF(OR(LEFT(O104,4)="Cash",LEFT(O104,4)="Prov"),0,SUMIFS(Input_APM!N:N,Input_APM!L:L,Check!O104)))</f>
        <v/>
      </c>
      <c r="Q104" s="21" t="str">
        <f>IF(O104="","",IF(LEN(O104)&gt;9,SUMIFS(Options!$H$3:$H$32,Options!$B$3:$B$32,Check!O104),SUMIFS('Master P&amp;L'!$H$11:$H$106,'Master P&amp;L'!$B$11:$B$106,Check!O104)))</f>
        <v/>
      </c>
      <c r="R104" s="212" t="str">
        <f t="shared" si="25"/>
        <v/>
      </c>
      <c r="S104" s="355" t="str">
        <f t="shared" si="11"/>
        <v/>
      </c>
    </row>
    <row r="105" spans="1:19">
      <c r="A105" t="s">
        <v>1770</v>
      </c>
      <c r="C105" s="228" t="str">
        <f>IF(B105="","",IF(LEN(B105)&gt;9,SUMIFS(Options!$H$3:$H$32,Options!$B$3:$B$32,Check!B105),SUMIFS('Master P&amp;L'!$H$11:$H$106,'Master P&amp;L'!$B$11:$B$106,Check!B105)))</f>
        <v/>
      </c>
      <c r="D105" s="228" t="str">
        <f>IF(B105="","",SUMIFS(Input_APM!N:N,Input_APM!L:L,Check!B105,Input_APM!M:M,Check!$F$1))</f>
        <v/>
      </c>
      <c r="E105" s="212" t="str">
        <f t="shared" si="21"/>
        <v/>
      </c>
      <c r="F105" s="228" t="str">
        <f>IF(B105="","",SUMIFS(Input_APM!N:N,Input_APM!M:M,Check!$F$1,Input_APM!L:L,Check!B105))</f>
        <v/>
      </c>
      <c r="G105" s="228" t="str">
        <f>IF(B105="","",SUMIFS(Input_APM!N:N,Input_APM!M:M,Check!$G$1,Input_APM!L:L,Check!B105))</f>
        <v/>
      </c>
      <c r="H105" s="212" t="str">
        <f t="shared" si="22"/>
        <v/>
      </c>
      <c r="I105" s="212">
        <f>SUMIFS(Input_APM!N:N,Input_APM!L:L,Check!B105)</f>
        <v>0</v>
      </c>
      <c r="J105" s="214" t="str">
        <f t="shared" si="23"/>
        <v/>
      </c>
      <c r="K105" s="21" t="str">
        <f>IF(B105="","",SUMIFS('Input_APM (Zenith)'!N:N,'Input_APM (Zenith)'!L:L,Check!B105,'Input_APM (Zenith)'!M:M,Check!$F$1))</f>
        <v/>
      </c>
      <c r="L105" s="21" t="str">
        <f>IF(B105="","",SUMIFS('Input_APM (Zenith)'!N:N,'Input_APM (Zenith)'!L:L,Check!B105,'Input_APM (Zenith)'!M:M,Check!$G$1))</f>
        <v/>
      </c>
      <c r="M105" s="212" t="str">
        <f t="shared" si="24"/>
        <v/>
      </c>
      <c r="O105"/>
      <c r="P105" s="212" t="str">
        <f>IF(O105="","",IF(OR(LEFT(O105,4)="Cash",LEFT(O105,4)="Prov"),0,SUMIFS(Input_APM!N:N,Input_APM!L:L,Check!O105)))</f>
        <v/>
      </c>
      <c r="Q105" s="21" t="str">
        <f>IF(O105="","",IF(LEN(O105)&gt;9,SUMIFS(Options!$H$3:$H$32,Options!$B$3:$B$32,Check!O105),SUMIFS('Master P&amp;L'!$H$11:$H$106,'Master P&amp;L'!$B$11:$B$106,Check!O105)))</f>
        <v/>
      </c>
      <c r="R105" s="212" t="str">
        <f t="shared" si="25"/>
        <v/>
      </c>
      <c r="S105" s="355" t="str">
        <f t="shared" si="11"/>
        <v/>
      </c>
    </row>
    <row r="106" spans="1:19">
      <c r="C106" s="228" t="str">
        <f>IF(B106="","",IF(LEN(B106)&gt;9,SUMIFS(Options!$H$3:$H$32,Options!$B$3:$B$32,Check!B106),SUMIFS('Master P&amp;L'!$H$11:$H$106,'Master P&amp;L'!$B$11:$B$106,Check!B106)))</f>
        <v/>
      </c>
      <c r="D106" s="228" t="str">
        <f>IF(B106="","",SUMIFS(Input_APM!N:N,Input_APM!L:L,Check!B106,Input_APM!M:M,Check!$F$1))</f>
        <v/>
      </c>
      <c r="E106" s="212" t="str">
        <f t="shared" si="21"/>
        <v/>
      </c>
      <c r="F106" s="228" t="str">
        <f>IF(B106="","",SUMIFS(Input_APM!N:N,Input_APM!M:M,Check!$F$1,Input_APM!L:L,Check!B106))</f>
        <v/>
      </c>
      <c r="G106" s="228" t="str">
        <f>IF(B106="","",SUMIFS(Input_APM!N:N,Input_APM!M:M,Check!$G$1,Input_APM!L:L,Check!B106))</f>
        <v/>
      </c>
      <c r="H106" s="212" t="str">
        <f t="shared" si="22"/>
        <v/>
      </c>
      <c r="I106" s="212">
        <f>SUMIFS(Input_APM!N:N,Input_APM!L:L,Check!B106)</f>
        <v>0</v>
      </c>
      <c r="J106" s="214" t="str">
        <f t="shared" si="23"/>
        <v/>
      </c>
      <c r="K106" s="21" t="str">
        <f>IF(B106="","",SUMIFS('Input_APM (Zenith)'!N:N,'Input_APM (Zenith)'!L:L,Check!B106,'Input_APM (Zenith)'!M:M,Check!$F$1))</f>
        <v/>
      </c>
      <c r="L106" s="21" t="str">
        <f>IF(B106="","",SUMIFS('Input_APM (Zenith)'!N:N,'Input_APM (Zenith)'!L:L,Check!B106,'Input_APM (Zenith)'!M:M,Check!$G$1))</f>
        <v/>
      </c>
      <c r="M106" s="212" t="str">
        <f t="shared" si="24"/>
        <v/>
      </c>
      <c r="O106"/>
      <c r="P106" s="212" t="str">
        <f>IF(O106="","",IF(OR(LEFT(O106,4)="Cash",LEFT(O106,4)="Prov"),0,SUMIFS(Input_APM!N:N,Input_APM!L:L,Check!O106)))</f>
        <v/>
      </c>
      <c r="Q106" s="21" t="str">
        <f>IF(O106="","",IF(LEN(O106)&gt;9,SUMIFS(Options!$H$3:$H$32,Options!$B$3:$B$32,Check!O106),SUMIFS('Master P&amp;L'!$H$11:$H$106,'Master P&amp;L'!$B$11:$B$106,Check!O106)))</f>
        <v/>
      </c>
      <c r="R106" s="212" t="str">
        <f t="shared" si="25"/>
        <v/>
      </c>
      <c r="S106" s="355" t="str">
        <f t="shared" si="11"/>
        <v/>
      </c>
    </row>
    <row r="107" spans="1:19">
      <c r="C107" s="228" t="str">
        <f>IF(B107="","",IF(LEN(B107)&gt;9,SUMIFS(Options!$H$3:$H$32,Options!$B$3:$B$32,Check!B107),SUMIFS('Master P&amp;L'!$H$11:$H$106,'Master P&amp;L'!$B$11:$B$106,Check!B107)))</f>
        <v/>
      </c>
      <c r="D107" s="228" t="str">
        <f>IF(B107="","",SUMIFS(Input_APM!N:N,Input_APM!L:L,Check!B107,Input_APM!M:M,Check!$F$1))</f>
        <v/>
      </c>
      <c r="E107" s="212" t="str">
        <f t="shared" si="21"/>
        <v/>
      </c>
      <c r="F107" s="228" t="str">
        <f>IF(B107="","",SUMIFS(Input_APM!N:N,Input_APM!M:M,Check!$F$1,Input_APM!L:L,Check!B107))</f>
        <v/>
      </c>
      <c r="G107" s="228" t="str">
        <f>IF(B107="","",SUMIFS(Input_APM!N:N,Input_APM!M:M,Check!$G$1,Input_APM!L:L,Check!B107))</f>
        <v/>
      </c>
      <c r="H107" s="212" t="str">
        <f t="shared" si="22"/>
        <v/>
      </c>
      <c r="I107" s="212">
        <f>SUMIFS(Input_APM!N:N,Input_APM!L:L,Check!B107)</f>
        <v>0</v>
      </c>
      <c r="J107" s="214" t="str">
        <f t="shared" si="23"/>
        <v/>
      </c>
      <c r="K107" s="21" t="str">
        <f>IF(B107="","",SUMIFS('Input_APM (Zenith)'!N:N,'Input_APM (Zenith)'!L:L,Check!B107,'Input_APM (Zenith)'!M:M,Check!$F$1))</f>
        <v/>
      </c>
      <c r="L107" s="21" t="str">
        <f>IF(B107="","",SUMIFS('Input_APM (Zenith)'!N:N,'Input_APM (Zenith)'!L:L,Check!B107,'Input_APM (Zenith)'!M:M,Check!$G$1))</f>
        <v/>
      </c>
      <c r="M107" s="212" t="str">
        <f t="shared" si="24"/>
        <v/>
      </c>
      <c r="O107"/>
      <c r="P107" s="212" t="str">
        <f>IF(O107="","",IF(OR(LEFT(O107,4)="Cash",LEFT(O107,4)="Prov"),0,SUMIFS(Input_APM!N:N,Input_APM!L:L,Check!O107)))</f>
        <v/>
      </c>
      <c r="Q107" s="21" t="str">
        <f>IF(O107="","",IF(LEN(O107)&gt;9,SUMIFS(Options!$H$3:$H$32,Options!$B$3:$B$32,Check!O107),SUMIFS('Master P&amp;L'!$H$11:$H$106,'Master P&amp;L'!$B$11:$B$106,Check!O107)))</f>
        <v/>
      </c>
      <c r="R107" s="212" t="str">
        <f t="shared" si="25"/>
        <v/>
      </c>
      <c r="S107" s="355" t="str">
        <f t="shared" si="11"/>
        <v/>
      </c>
    </row>
    <row r="108" spans="1:19">
      <c r="C108" s="228" t="str">
        <f>IF(B108="","",IF(LEN(B108)&gt;9,SUMIFS(Options!$H$3:$H$32,Options!$B$3:$B$32,Check!B108),SUMIFS('Master P&amp;L'!$H$11:$H$106,'Master P&amp;L'!$B$11:$B$106,Check!B108)))</f>
        <v/>
      </c>
      <c r="D108" s="228" t="str">
        <f>IF(B108="","",SUMIFS(Input_APM!N:N,Input_APM!L:L,Check!B108,Input_APM!M:M,Check!$F$1))</f>
        <v/>
      </c>
      <c r="E108" s="212" t="str">
        <f>IF(B108="","",C108-M108)</f>
        <v/>
      </c>
      <c r="F108" s="228" t="str">
        <f>IF(B108="","",SUMIFS(Input_APM!N:N,Input_APM!M:M,Check!$F$1,Input_APM!L:L,Check!B108))</f>
        <v/>
      </c>
      <c r="G108" s="228" t="str">
        <f>IF(B108="","",SUMIFS(Input_APM!N:N,Input_APM!M:M,Check!$G$1,Input_APM!L:L,Check!B108))</f>
        <v/>
      </c>
      <c r="H108" s="212" t="str">
        <f t="shared" si="22"/>
        <v/>
      </c>
      <c r="I108" s="212">
        <f>SUMIFS(Input_APM!N:N,Input_APM!L:L,Check!B108)</f>
        <v>0</v>
      </c>
      <c r="J108" s="214" t="str">
        <f t="shared" si="23"/>
        <v/>
      </c>
      <c r="K108" s="21" t="str">
        <f>IF(B108="","",SUMIFS('Input_APM (Zenith)'!N:N,'Input_APM (Zenith)'!L:L,Check!B108,'Input_APM (Zenith)'!M:M,Check!$F$1))</f>
        <v/>
      </c>
      <c r="L108" s="21" t="str">
        <f>IF(B108="","",SUMIFS('Input_APM (Zenith)'!N:N,'Input_APM (Zenith)'!L:L,Check!B108,'Input_APM (Zenith)'!M:M,Check!$G$1))</f>
        <v/>
      </c>
      <c r="M108" s="212" t="str">
        <f t="shared" si="24"/>
        <v/>
      </c>
      <c r="O108"/>
      <c r="P108" s="212" t="str">
        <f>IF(O108="","",IF(OR(LEFT(O108,4)="Cash",LEFT(O108,4)="Prov"),0,SUMIFS(Input_APM!N:N,Input_APM!L:L,Check!O108)))</f>
        <v/>
      </c>
      <c r="Q108" s="21" t="str">
        <f>IF(O108="","",IF(LEN(O108)&gt;9,SUMIFS(Options!$H$3:$H$32,Options!$B$3:$B$32,Check!O108),SUMIFS('Master P&amp;L'!$H$11:$H$106,'Master P&amp;L'!$B$11:$B$106,Check!O108)))</f>
        <v/>
      </c>
      <c r="R108" s="212" t="str">
        <f t="shared" ref="R108:R113" si="26">IF(O108="","",P108-Q108)</f>
        <v/>
      </c>
      <c r="S108" s="355" t="str">
        <f t="shared" si="11"/>
        <v/>
      </c>
    </row>
    <row r="109" spans="1:19">
      <c r="C109" s="228" t="str">
        <f>IF(B109="","",IF(LEN(B109)&gt;9,SUMIFS(Options!$H$3:$H$32,Options!$B$3:$B$32,Check!B109),SUMIFS('Master P&amp;L'!$H$11:$H$106,'Master P&amp;L'!$B$11:$B$106,Check!B109)))</f>
        <v/>
      </c>
      <c r="D109" s="228" t="str">
        <f>IF(B109="","",SUMIFS(Input_APM!N:N,Input_APM!L:L,Check!B109,Input_APM!M:M,Check!$F$1))</f>
        <v/>
      </c>
      <c r="E109" s="212" t="str">
        <f>IF(B109="","",C109-M109)</f>
        <v/>
      </c>
      <c r="F109" s="228" t="str">
        <f>IF(B109="","",SUMIFS(Input_APM!N:N,Input_APM!M:M,Check!$F$1,Input_APM!L:L,Check!B109))</f>
        <v/>
      </c>
      <c r="G109" s="228" t="str">
        <f>IF(B109="","",SUMIFS(Input_APM!N:N,Input_APM!M:M,Check!$G$1,Input_APM!L:L,Check!B109))</f>
        <v/>
      </c>
      <c r="H109" s="212" t="str">
        <f t="shared" si="22"/>
        <v/>
      </c>
      <c r="I109" s="212">
        <f>SUMIFS(Input_APM!N:N,Input_APM!L:L,Check!B109)</f>
        <v>0</v>
      </c>
      <c r="J109" s="214" t="str">
        <f t="shared" si="23"/>
        <v/>
      </c>
      <c r="K109" s="21" t="str">
        <f>IF(B109="","",SUMIFS('Input_APM (Zenith)'!N:N,'Input_APM (Zenith)'!L:L,Check!B109,'Input_APM (Zenith)'!M:M,Check!$F$1))</f>
        <v/>
      </c>
      <c r="L109" s="21" t="str">
        <f>IF(B109="","",SUMIFS('Input_APM (Zenith)'!N:N,'Input_APM (Zenith)'!L:L,Check!B109,'Input_APM (Zenith)'!M:M,Check!$G$1))</f>
        <v/>
      </c>
      <c r="M109" s="212" t="str">
        <f t="shared" si="24"/>
        <v/>
      </c>
      <c r="O109"/>
      <c r="P109" s="212" t="str">
        <f>IF(O109="","",IF(OR(LEFT(O109,4)="Cash",LEFT(O109,4)="Prov"),0,SUMIFS(Input_APM!N:N,Input_APM!L:L,Check!O109)))</f>
        <v/>
      </c>
      <c r="Q109" s="21" t="str">
        <f>IF(O109="","",IF(LEN(O109)&gt;9,SUMIFS(Options!$H$3:$H$32,Options!$B$3:$B$32,Check!O109),SUMIFS('Master P&amp;L'!$H$11:$H$106,'Master P&amp;L'!$B$11:$B$106,Check!O109)))</f>
        <v/>
      </c>
      <c r="R109" s="212" t="str">
        <f t="shared" si="26"/>
        <v/>
      </c>
      <c r="S109" s="355" t="str">
        <f t="shared" si="11"/>
        <v/>
      </c>
    </row>
    <row r="110" spans="1:19">
      <c r="A110" t="s">
        <v>1770</v>
      </c>
      <c r="C110" s="228" t="str">
        <f>IF(B110="","",IF(LEN(B110)&gt;9,SUMIFS(Options!$H$3:$H$32,Options!$B$3:$B$32,Check!B110),SUMIFS('Master P&amp;L'!$H$11:$H$106,'Master P&amp;L'!$B$11:$B$106,Check!B110)))</f>
        <v/>
      </c>
      <c r="D110" s="228" t="str">
        <f>IF(B110="","",SUMIFS(Input_APM!N:N,Input_APM!L:L,Check!B110,Input_APM!M:M,Check!$F$1))</f>
        <v/>
      </c>
      <c r="E110" s="212" t="str">
        <f t="shared" si="21"/>
        <v/>
      </c>
      <c r="F110" s="228" t="str">
        <f>IF(B110="","",SUMIFS(Input_APM!N:N,Input_APM!M:M,Check!$F$1,Input_APM!L:L,Check!B110))</f>
        <v/>
      </c>
      <c r="G110" s="228" t="str">
        <f>IF(B110="","",SUMIFS(Input_APM!N:N,Input_APM!M:M,Check!$G$1,Input_APM!L:L,Check!B110))</f>
        <v/>
      </c>
      <c r="H110" s="212" t="str">
        <f t="shared" si="22"/>
        <v/>
      </c>
      <c r="I110" s="212">
        <f>SUMIFS(Input_APM!N:N,Input_APM!L:L,Check!B110)</f>
        <v>0</v>
      </c>
      <c r="J110" s="214" t="str">
        <f t="shared" si="23"/>
        <v/>
      </c>
      <c r="K110" s="21" t="str">
        <f>IF(B110="","",SUMIFS('Input_APM (Zenith)'!N:N,'Input_APM (Zenith)'!L:L,Check!B110,'Input_APM (Zenith)'!M:M,Check!$F$1))</f>
        <v/>
      </c>
      <c r="L110" s="21" t="str">
        <f>IF(B110="","",SUMIFS('Input_APM (Zenith)'!N:N,'Input_APM (Zenith)'!L:L,Check!B110,'Input_APM (Zenith)'!M:M,Check!$G$1))</f>
        <v/>
      </c>
      <c r="M110" s="212" t="str">
        <f t="shared" si="24"/>
        <v/>
      </c>
      <c r="O110"/>
      <c r="P110" s="212" t="str">
        <f>IF(O110="","",IF(OR(LEFT(O110,4)="Cash",LEFT(O110,4)="Prov"),0,SUMIFS(Input_APM!N:N,Input_APM!L:L,Check!O110)))</f>
        <v/>
      </c>
      <c r="Q110" s="21" t="str">
        <f>IF(O110="","",IF(LEN(O110)&gt;9,SUMIFS(Options!$H$3:$H$32,Options!$B$3:$B$32,Check!O110),SUMIFS('Master P&amp;L'!$H$11:$H$106,'Master P&amp;L'!$B$11:$B$106,Check!O110)))</f>
        <v/>
      </c>
      <c r="R110" s="212" t="str">
        <f t="shared" si="26"/>
        <v/>
      </c>
      <c r="S110" s="355" t="str">
        <f t="shared" si="11"/>
        <v/>
      </c>
    </row>
    <row r="111" spans="1:19">
      <c r="C111" s="228" t="str">
        <f>IF(B111="","",IF(LEN(B111)&gt;9,SUMIFS(Options!$H$3:$H$32,Options!$B$3:$B$32,Check!B111),SUMIFS('Master P&amp;L'!$H$11:$H$106,'Master P&amp;L'!$B$11:$B$106,Check!B111)))</f>
        <v/>
      </c>
      <c r="D111" s="228" t="str">
        <f>IF(B111="","",SUMIFS(Input_APM!N:N,Input_APM!L:L,Check!B111,Input_APM!M:M,Check!$F$1))</f>
        <v/>
      </c>
      <c r="E111" s="212" t="str">
        <f t="shared" si="21"/>
        <v/>
      </c>
      <c r="F111" s="228" t="str">
        <f>IF(B111="","",SUMIFS(Input_APM!N:N,Input_APM!M:M,Check!$F$1,Input_APM!L:L,Check!B111))</f>
        <v/>
      </c>
      <c r="G111" s="228" t="str">
        <f>IF(B111="","",SUMIFS(Input_APM!N:N,Input_APM!M:M,Check!$G$1,Input_APM!L:L,Check!B111))</f>
        <v/>
      </c>
      <c r="H111" s="212" t="str">
        <f t="shared" si="22"/>
        <v/>
      </c>
      <c r="I111" s="212">
        <f>SUMIFS(Input_APM!N:N,Input_APM!L:L,Check!B111)</f>
        <v>0</v>
      </c>
      <c r="J111" s="214" t="str">
        <f t="shared" si="23"/>
        <v/>
      </c>
      <c r="K111" s="21" t="str">
        <f>IF(B111="","",SUMIFS('Input_APM (Zenith)'!N:N,'Input_APM (Zenith)'!L:L,Check!B111,'Input_APM (Zenith)'!M:M,Check!$F$1))</f>
        <v/>
      </c>
      <c r="L111" s="21" t="str">
        <f>IF(B111="","",SUMIFS('Input_APM (Zenith)'!N:N,'Input_APM (Zenith)'!L:L,Check!B111,'Input_APM (Zenith)'!M:M,Check!$G$1))</f>
        <v/>
      </c>
      <c r="M111" s="212" t="str">
        <f t="shared" si="24"/>
        <v/>
      </c>
      <c r="O111"/>
      <c r="P111" s="212" t="str">
        <f>IF(O111="","",IF(OR(LEFT(O111,4)="Cash",LEFT(O111,4)="Prov"),0,SUMIFS(Input_APM!N:N,Input_APM!L:L,Check!O111)))</f>
        <v/>
      </c>
      <c r="Q111" s="21" t="str">
        <f>IF(O111="","",IF(LEN(O111)&gt;9,SUMIFS(Options!$H$3:$H$32,Options!$B$3:$B$32,Check!O111),SUMIFS('Master P&amp;L'!$H$11:$H$106,'Master P&amp;L'!$B$11:$B$106,Check!O111)))</f>
        <v/>
      </c>
      <c r="R111" s="212" t="str">
        <f t="shared" si="26"/>
        <v/>
      </c>
      <c r="S111" s="355" t="str">
        <f t="shared" si="11"/>
        <v/>
      </c>
    </row>
    <row r="112" spans="1:19">
      <c r="C112" s="228" t="str">
        <f>IF(B112="","",IF(LEN(B112)&gt;9,SUMIFS(Options!$H$3:$H$32,Options!$B$3:$B$32,Check!B112),SUMIFS('Master P&amp;L'!$H$11:$H$106,'Master P&amp;L'!$B$11:$B$106,Check!B112)))</f>
        <v/>
      </c>
      <c r="D112" s="228" t="str">
        <f>IF(B112="","",SUMIFS(Input_APM!N:N,Input_APM!L:L,Check!B112,Input_APM!M:M,Check!$F$1))</f>
        <v/>
      </c>
      <c r="E112" s="212" t="str">
        <f t="shared" si="21"/>
        <v/>
      </c>
      <c r="F112" s="228" t="str">
        <f>IF(B112="","",SUMIFS(Input_APM!N:N,Input_APM!M:M,Check!$F$1,Input_APM!L:L,Check!B112))</f>
        <v/>
      </c>
      <c r="G112" s="228" t="str">
        <f>IF(B112="","",SUMIFS(Input_APM!N:N,Input_APM!M:M,Check!$G$1,Input_APM!L:L,Check!B112))</f>
        <v/>
      </c>
      <c r="H112" s="212" t="str">
        <f t="shared" si="22"/>
        <v/>
      </c>
      <c r="I112" s="212">
        <f>SUMIFS(Input_APM!N:N,Input_APM!L:L,Check!B112)</f>
        <v>0</v>
      </c>
      <c r="J112" s="214" t="str">
        <f t="shared" si="23"/>
        <v/>
      </c>
      <c r="K112" s="21" t="str">
        <f>IF(B112="","",SUMIFS('Input_APM (Zenith)'!N:N,'Input_APM (Zenith)'!L:L,Check!B112,'Input_APM (Zenith)'!M:M,Check!$F$1))</f>
        <v/>
      </c>
      <c r="L112" s="21" t="str">
        <f>IF(B112="","",SUMIFS('Input_APM (Zenith)'!N:N,'Input_APM (Zenith)'!L:L,Check!B112,'Input_APM (Zenith)'!M:M,Check!$G$1))</f>
        <v/>
      </c>
      <c r="M112" s="212" t="str">
        <f t="shared" si="24"/>
        <v/>
      </c>
      <c r="O112"/>
      <c r="P112" s="212" t="str">
        <f>IF(O112="","",IF(OR(LEFT(O112,4)="Cash",LEFT(O112,4)="Prov"),0,SUMIFS(Input_APM!N:N,Input_APM!L:L,Check!O112)))</f>
        <v/>
      </c>
      <c r="Q112" s="21" t="str">
        <f>IF(O112="","",IF(LEN(O112)&gt;9,SUMIFS(Options!$H$3:$H$32,Options!$B$3:$B$32,Check!O112),SUMIFS('Master P&amp;L'!$H$11:$H$106,'Master P&amp;L'!$B$11:$B$106,Check!O112)))</f>
        <v/>
      </c>
      <c r="R112" s="212" t="str">
        <f t="shared" si="26"/>
        <v/>
      </c>
      <c r="S112" s="355" t="str">
        <f t="shared" si="11"/>
        <v/>
      </c>
    </row>
    <row r="113" spans="3:20">
      <c r="C113" s="228" t="str">
        <f>IF(B113="","",IF(LEN(B113)&gt;9,SUMIFS(Options!$H$3:$H$32,Options!$B$3:$B$32,Check!B113),SUMIFS('Master P&amp;L'!$H$11:$H$106,'Master P&amp;L'!$B$11:$B$106,Check!B113)))</f>
        <v/>
      </c>
      <c r="D113" s="228" t="str">
        <f>IF(B113="","",SUMIFS(Input_APM!N:N,Input_APM!L:L,Check!B113,Input_APM!M:M,Check!$F$1))</f>
        <v/>
      </c>
      <c r="E113" s="212" t="str">
        <f t="shared" si="21"/>
        <v/>
      </c>
      <c r="F113" s="228" t="str">
        <f>IF(B113="","",SUMIFS(Input_APM!N:N,Input_APM!M:M,Check!$F$1,Input_APM!L:L,Check!B113))</f>
        <v/>
      </c>
      <c r="G113" s="228" t="str">
        <f>IF(B113="","",SUMIFS(Input_APM!N:N,Input_APM!M:M,Check!$G$1,Input_APM!L:L,Check!B113))</f>
        <v/>
      </c>
      <c r="H113" s="212" t="str">
        <f t="shared" si="22"/>
        <v/>
      </c>
      <c r="I113" s="212">
        <f>SUMIFS(Input_APM!N:N,Input_APM!L:L,Check!B113)</f>
        <v>0</v>
      </c>
      <c r="J113" s="214" t="str">
        <f t="shared" si="23"/>
        <v/>
      </c>
      <c r="K113" s="21" t="str">
        <f>IF(B113="","",SUMIFS('Input_APM (Zenith)'!N:N,'Input_APM (Zenith)'!L:L,Check!B113,'Input_APM (Zenith)'!M:M,Check!$F$1))</f>
        <v/>
      </c>
      <c r="L113" s="21" t="str">
        <f>IF(B113="","",SUMIFS('Input_APM (Zenith)'!N:N,'Input_APM (Zenith)'!L:L,Check!B113,'Input_APM (Zenith)'!M:M,Check!$G$1))</f>
        <v/>
      </c>
      <c r="M113" s="212" t="str">
        <f t="shared" si="24"/>
        <v/>
      </c>
      <c r="O113"/>
      <c r="P113" s="212" t="str">
        <f>IF(O113="","",IF(OR(LEFT(O113,4)="Cash",LEFT(O113,4)="Prov"),0,SUMIFS(Input_APM!N:N,Input_APM!L:L,Check!O113)))</f>
        <v/>
      </c>
      <c r="Q113" s="21" t="str">
        <f>IF(O113="","",IF(LEN(O113)&gt;9,SUMIFS(Options!$H$3:$H$32,Options!$B$3:$B$32,Check!O113),SUMIFS('Master P&amp;L'!$H$11:$H$106,'Master P&amp;L'!$B$11:$B$106,Check!O113)))</f>
        <v/>
      </c>
      <c r="R113" s="212" t="str">
        <f t="shared" si="26"/>
        <v/>
      </c>
      <c r="S113" s="355" t="str">
        <f t="shared" si="11"/>
        <v/>
      </c>
    </row>
    <row r="114" spans="3:20">
      <c r="C114" s="228" t="str">
        <f>IF(B114="","",IF(LEN(B114)&gt;9,SUMIFS(Options!$H$3:$H$32,Options!$B$3:$B$32,Check!B114),SUMIFS('Master P&amp;L'!$H$11:$H$106,'Master P&amp;L'!$B$11:$B$106,Check!B114)))</f>
        <v/>
      </c>
      <c r="D114" s="228" t="str">
        <f>IF(B114="","",SUMIFS(Input_APM!N:N,Input_APM!L:L,Check!B114,Input_APM!M:M,Check!$F$1))</f>
        <v/>
      </c>
      <c r="E114" s="212" t="str">
        <f>IF(B114="","",C114-M114)</f>
        <v/>
      </c>
      <c r="F114" s="228" t="str">
        <f>IF(B114="","",SUMIFS(Input_APM!N:N,Input_APM!M:M,Check!$F$1,Input_APM!L:L,Check!B114))</f>
        <v/>
      </c>
      <c r="G114" s="228" t="str">
        <f>IF(B114="","",SUMIFS(Input_APM!N:N,Input_APM!M:M,Check!$G$1,Input_APM!L:L,Check!B114))</f>
        <v/>
      </c>
      <c r="H114" s="212" t="str">
        <f>IF(B114="","",F114-G114)</f>
        <v/>
      </c>
      <c r="I114" s="212">
        <f>SUMIFS(Input_APM!N:N,Input_APM!L:L,Check!B114)</f>
        <v>0</v>
      </c>
      <c r="J114" s="214" t="str">
        <f>IF(B114="","",(F114+G114)-I114)</f>
        <v/>
      </c>
      <c r="K114" s="21" t="str">
        <f>IF(B114="","",SUMIFS('Input_APM (Zenith)'!N:N,'Input_APM (Zenith)'!L:L,Check!B114,'Input_APM (Zenith)'!M:M,Check!$F$1))</f>
        <v/>
      </c>
      <c r="L114" s="21" t="str">
        <f>IF(B114="","",SUMIFS('Input_APM (Zenith)'!N:N,'Input_APM (Zenith)'!L:L,Check!B114,'Input_APM (Zenith)'!M:M,Check!$G$1))</f>
        <v/>
      </c>
      <c r="M114" s="212" t="str">
        <f>IF(B114="","",F114+G114+K114+L114)</f>
        <v/>
      </c>
      <c r="O114"/>
      <c r="P114" s="212" t="str">
        <f>IF(O114="","",IF(OR(LEFT(O114,4)="Cash",LEFT(O114,4)="Prov"),0,SUMIFS(Input_APM!N:N,Input_APM!L:L,Check!O114)))</f>
        <v/>
      </c>
      <c r="Q114" s="21" t="str">
        <f>IF(O114="","",IF(LEN(O114)&gt;9,SUMIFS(Options!$H$3:$H$32,Options!$B$3:$B$32,Check!O114),SUMIFS('Master P&amp;L'!$H$11:$H$106,'Master P&amp;L'!$B$11:$B$106,Check!O114)))</f>
        <v/>
      </c>
      <c r="R114" s="212" t="str">
        <f>IF(O114="","",P114-Q114)</f>
        <v/>
      </c>
      <c r="S114" s="355" t="str">
        <f t="shared" si="11"/>
        <v/>
      </c>
    </row>
    <row r="115" spans="3:20">
      <c r="C115" s="228" t="str">
        <f>IF(B115="","",IF(LEN(B115)&gt;9,SUMIFS(Options!$H$3:$H$32,Options!$B$3:$B$32,Check!B115),SUMIFS('Master P&amp;L'!$H$11:$H$106,'Master P&amp;L'!$B$11:$B$106,Check!B115)))</f>
        <v/>
      </c>
      <c r="D115" s="228" t="str">
        <f>IF(B115="","",SUMIFS(Input_APM!N:N,Input_APM!L:L,Check!B115,Input_APM!M:M,Check!$F$1))</f>
        <v/>
      </c>
      <c r="E115" s="212" t="str">
        <f>IF(B115="","",C115-M115)</f>
        <v/>
      </c>
      <c r="F115" s="228" t="str">
        <f>IF(B115="","",SUMIFS(Input_APM!N:N,Input_APM!M:M,Check!$F$1,Input_APM!L:L,Check!B115))</f>
        <v/>
      </c>
      <c r="G115" s="228" t="str">
        <f>IF(B115="","",SUMIFS(Input_APM!N:N,Input_APM!M:M,Check!$G$1,Input_APM!L:L,Check!B115))</f>
        <v/>
      </c>
      <c r="H115" s="212" t="str">
        <f>IF(B115="","",F115-G115)</f>
        <v/>
      </c>
      <c r="I115" s="212">
        <f>SUMIFS(Input_APM!N:N,Input_APM!L:L,Check!B115)</f>
        <v>0</v>
      </c>
      <c r="J115" s="214" t="str">
        <f>IF(B115="","",(F115+G115)-I115)</f>
        <v/>
      </c>
      <c r="K115" s="21" t="str">
        <f>IF(B115="","",SUMIFS('Input_APM (Zenith)'!N:N,'Input_APM (Zenith)'!L:L,Check!B115,'Input_APM (Zenith)'!M:M,Check!$F$1))</f>
        <v/>
      </c>
      <c r="L115" s="21" t="str">
        <f>IF(B115="","",SUMIFS('Input_APM (Zenith)'!N:N,'Input_APM (Zenith)'!L:L,Check!B115,'Input_APM (Zenith)'!M:M,Check!$G$1))</f>
        <v/>
      </c>
      <c r="M115" s="212" t="str">
        <f>IF(B115="","",F115+G115+K115+L115)</f>
        <v/>
      </c>
      <c r="O115"/>
      <c r="P115" s="212" t="str">
        <f>IF(O115="","",IF(OR(LEFT(O115,4)="Cash",LEFT(O115,4)="Prov"),0,SUMIFS(Input_APM!N:N,Input_APM!L:L,Check!O115)))</f>
        <v/>
      </c>
      <c r="Q115" s="21" t="str">
        <f>IF(O115="","",IF(LEN(O115)&gt;9,SUMIFS(Options!$H$3:$H$32,Options!$B$3:$B$32,Check!O115),SUMIFS('Master P&amp;L'!$H$11:$H$106,'Master P&amp;L'!$B$11:$B$106,Check!O115)))</f>
        <v/>
      </c>
      <c r="R115" s="212" t="str">
        <f>IF(O115="","",P115-Q115)</f>
        <v/>
      </c>
      <c r="S115" s="355" t="str">
        <f t="shared" si="11"/>
        <v/>
      </c>
    </row>
    <row r="116" spans="3:20">
      <c r="C116" s="228" t="str">
        <f>IF(B116="","",IF(LEN(B116)&gt;9,SUMIFS(Options!$H$3:$H$32,Options!$B$3:$B$32,Check!B116),SUMIFS('Master P&amp;L'!$H$11:$H$106,'Master P&amp;L'!$B$11:$B$106,Check!B116)))</f>
        <v/>
      </c>
      <c r="D116" s="228" t="str">
        <f>IF(B116="","",SUMIFS(Input_APM!N:N,Input_APM!L:L,Check!B116,Input_APM!M:M,Check!$F$1))</f>
        <v/>
      </c>
      <c r="E116" s="212" t="str">
        <f>IF(B116="","",C116-M116)</f>
        <v/>
      </c>
      <c r="F116" s="228" t="str">
        <f>IF(B116="","",SUMIFS(Input_APM!N:N,Input_APM!M:M,Check!$F$1,Input_APM!L:L,Check!B116))</f>
        <v/>
      </c>
      <c r="G116" s="228" t="str">
        <f>IF(B116="","",SUMIFS(Input_APM!N:N,Input_APM!M:M,Check!$G$1,Input_APM!L:L,Check!B116))</f>
        <v/>
      </c>
      <c r="H116" s="212" t="str">
        <f>IF(B116="","",F116-G116)</f>
        <v/>
      </c>
      <c r="I116" s="212">
        <f>SUMIFS(Input_APM!N:N,Input_APM!L:L,Check!B116)</f>
        <v>0</v>
      </c>
      <c r="J116" s="214" t="str">
        <f>IF(B116="","",(F116+G116)-I116)</f>
        <v/>
      </c>
      <c r="K116" s="21" t="str">
        <f>IF(B116="","",SUMIFS('Input_APM (Zenith)'!N:N,'Input_APM (Zenith)'!L:L,Check!B116,'Input_APM (Zenith)'!M:M,Check!$F$1))</f>
        <v/>
      </c>
      <c r="L116" s="21" t="str">
        <f>IF(B116="","",SUMIFS('Input_APM (Zenith)'!N:N,'Input_APM (Zenith)'!L:L,Check!B116,'Input_APM (Zenith)'!M:M,Check!$G$1))</f>
        <v/>
      </c>
      <c r="M116" s="212" t="str">
        <f>IF(B116="","",F116+G116+K116+L116)</f>
        <v/>
      </c>
      <c r="O116"/>
      <c r="P116" s="212" t="str">
        <f>IF(O116="","",IF(OR(LEFT(O116,4)="Cash",LEFT(O116,4)="Prov"),0,SUMIFS(Input_APM!N:N,Input_APM!L:L,Check!O116)))</f>
        <v/>
      </c>
      <c r="Q116" s="21" t="str">
        <f>IF(O116="","",IF(LEN(O116)&gt;9,SUMIFS(Options!$H$3:$H$32,Options!$B$3:$B$32,Check!O116),SUMIFS('Master P&amp;L'!$H$11:$H$106,'Master P&amp;L'!$B$11:$B$106,Check!O116)))</f>
        <v/>
      </c>
      <c r="R116" s="212" t="str">
        <f>IF(O116="","",P116-Q116)</f>
        <v/>
      </c>
      <c r="S116" s="355" t="str">
        <f t="shared" si="11"/>
        <v/>
      </c>
    </row>
    <row r="117" spans="3:20">
      <c r="C117" s="228" t="str">
        <f>IF(B117="","",IF(LEN(B117)&gt;9,SUMIFS(Options!$H$3:$H$32,Options!$B$3:$B$32,Check!B117),SUMIFS('Master P&amp;L'!$H$11:$H$106,'Master P&amp;L'!$B$11:$B$106,Check!B117)))</f>
        <v/>
      </c>
      <c r="D117" s="228" t="str">
        <f>IF(B117="","",SUMIFS(Input_APM!N:N,Input_APM!L:L,Check!B117,Input_APM!M:M,Check!$F$1))</f>
        <v/>
      </c>
      <c r="E117" s="212" t="str">
        <f>IF(B117="","",C117-M117)</f>
        <v/>
      </c>
      <c r="F117" s="228" t="str">
        <f>IF(B117="","",SUMIFS(Input_APM!N:N,Input_APM!M:M,Check!$F$1,Input_APM!L:L,Check!B117))</f>
        <v/>
      </c>
      <c r="G117" s="228" t="str">
        <f>IF(B117="","",SUMIFS(Input_APM!N:N,Input_APM!M:M,Check!$G$1,Input_APM!L:L,Check!B117))</f>
        <v/>
      </c>
      <c r="H117" s="212" t="str">
        <f>IF(B117="","",F117-G117)</f>
        <v/>
      </c>
      <c r="I117" s="212">
        <f>SUMIFS(Input_APM!N:N,Input_APM!L:L,Check!B117)</f>
        <v>0</v>
      </c>
      <c r="J117" s="214" t="str">
        <f>IF(B117="","",(F117+G117)-I117)</f>
        <v/>
      </c>
      <c r="K117" s="21" t="str">
        <f>IF(B117="","",SUMIFS('Input_APM (Zenith)'!N:N,'Input_APM (Zenith)'!L:L,Check!B117,'Input_APM (Zenith)'!M:M,Check!$F$1))</f>
        <v/>
      </c>
      <c r="L117" s="21" t="str">
        <f>IF(B117="","",SUMIFS('Input_APM (Zenith)'!N:N,'Input_APM (Zenith)'!L:L,Check!B117,'Input_APM (Zenith)'!M:M,Check!$G$1))</f>
        <v/>
      </c>
      <c r="M117" s="212" t="str">
        <f>IF(B117="","",F117+G117+K117+L117)</f>
        <v/>
      </c>
      <c r="O117"/>
      <c r="P117" s="212" t="str">
        <f>IF(O117="","",IF(OR(LEFT(O117,4)="Cash",LEFT(O117,4)="Prov"),0,SUMIFS(Input_APM!N:N,Input_APM!L:L,Check!O117)))</f>
        <v/>
      </c>
      <c r="Q117" s="21" t="str">
        <f>IF(O117="","",IF(LEN(O117)&gt;9,SUMIFS(Options!$H$3:$H$32,Options!$B$3:$B$32,Check!O117),SUMIFS('Master P&amp;L'!$H$11:$H$106,'Master P&amp;L'!$B$11:$B$106,Check!O117)))</f>
        <v/>
      </c>
      <c r="R117" s="212" t="str">
        <f>IF(O117="","",P117-Q117)</f>
        <v/>
      </c>
      <c r="S117" s="355" t="str">
        <f t="shared" si="11"/>
        <v/>
      </c>
    </row>
    <row r="118" spans="3:20">
      <c r="C118" s="228" t="str">
        <f>IF(B118="","",IF(LEN(B118)&gt;9,SUMIFS(Options!$H$3:$H$32,Options!$B$3:$B$32,Check!B118),SUMIFS('Master P&amp;L'!$H$11:$H$106,'Master P&amp;L'!$B$11:$B$106,Check!B118)))</f>
        <v/>
      </c>
      <c r="D118" s="228" t="str">
        <f>IF(B118="","",SUMIFS(Input_APM!N:N,Input_APM!L:L,Check!B118,Input_APM!M:M,Check!$F$1))</f>
        <v/>
      </c>
      <c r="E118" s="212" t="str">
        <f>IF(B118="","",C118-M118)</f>
        <v/>
      </c>
      <c r="F118" s="228" t="str">
        <f>IF(B118="","",SUMIFS(Input_APM!N:N,Input_APM!M:M,Check!$F$1,Input_APM!L:L,Check!B118))</f>
        <v/>
      </c>
      <c r="G118" s="228" t="str">
        <f>IF(B118="","",SUMIFS(Input_APM!N:N,Input_APM!M:M,Check!$G$1,Input_APM!L:L,Check!B118))</f>
        <v/>
      </c>
      <c r="H118" s="212" t="str">
        <f>IF(B118="","",F118-G118)</f>
        <v/>
      </c>
      <c r="I118" s="212">
        <f>SUMIFS(Input_APM!N:N,Input_APM!L:L,Check!B118)</f>
        <v>0</v>
      </c>
      <c r="J118" s="214" t="str">
        <f>IF(B118="","",(F118+G118)-I118)</f>
        <v/>
      </c>
      <c r="K118" s="21" t="str">
        <f>IF(B118="","",SUMIFS('Input_APM (Zenith)'!N:N,'Input_APM (Zenith)'!L:L,Check!B118,'Input_APM (Zenith)'!M:M,Check!$F$1))</f>
        <v/>
      </c>
      <c r="L118" s="21" t="str">
        <f>IF(B118="","",SUMIFS('Input_APM (Zenith)'!N:N,'Input_APM (Zenith)'!L:L,Check!B118,'Input_APM (Zenith)'!M:M,Check!$G$1))</f>
        <v/>
      </c>
      <c r="M118" s="212" t="str">
        <f>IF(B118="","",F118+G118+K118+L118)</f>
        <v/>
      </c>
      <c r="O118"/>
      <c r="P118" s="212" t="str">
        <f>IF(O118="","",IF(OR(LEFT(O118,4)="Cash",LEFT(O118,4)="Prov"),0,SUMIFS(Input_APM!N:N,Input_APM!L:L,Check!O118)))</f>
        <v/>
      </c>
      <c r="Q118" s="21" t="str">
        <f>IF(O118="","",IF(LEN(O118)&gt;9,SUMIFS(Options!$H$3:$H$32,Options!$B$3:$B$32,Check!O118),SUMIFS('Master P&amp;L'!$H$11:$H$106,'Master P&amp;L'!$B$11:$B$106,Check!O118)))</f>
        <v/>
      </c>
      <c r="R118" s="212" t="str">
        <f t="shared" ref="R118:R124" si="27">IF(O118="","",P118-Q118)</f>
        <v/>
      </c>
      <c r="S118" s="355" t="str">
        <f t="shared" si="11"/>
        <v/>
      </c>
    </row>
    <row r="119" spans="3:20">
      <c r="C119" s="228" t="str">
        <f>IF(B119="","",IF(LEN(B119)&gt;9,SUMIFS(Options!$H$3:$H$32,Options!$B$3:$B$32,Check!B119),SUMIFS('Master P&amp;L'!$H$11:$H$106,'Master P&amp;L'!$B$11:$B$106,Check!B119)))</f>
        <v/>
      </c>
      <c r="D119" s="228" t="str">
        <f>IF(B119="","",SUMIFS(Input_APM!N:N,Input_APM!L:L,Check!B119,Input_APM!M:M,Check!$F$1))</f>
        <v/>
      </c>
      <c r="E119" s="212" t="str">
        <f t="shared" ref="E119:E128" si="28">IF(B119="","",C119-M119)</f>
        <v/>
      </c>
      <c r="F119" s="228" t="str">
        <f>IF(B119="","",SUMIFS(Input_APM!N:N,Input_APM!M:M,Check!$F$1,Input_APM!L:L,Check!B119))</f>
        <v/>
      </c>
      <c r="G119" s="228" t="str">
        <f>IF(B119="","",SUMIFS(Input_APM!N:N,Input_APM!M:M,Check!$G$1,Input_APM!L:L,Check!B119))</f>
        <v/>
      </c>
      <c r="H119" s="212" t="str">
        <f t="shared" ref="H119:H128" si="29">IF(B119="","",F119-G119)</f>
        <v/>
      </c>
      <c r="I119" s="212">
        <f>SUMIFS(Input_APM!N:N,Input_APM!L:L,Check!B119)</f>
        <v>0</v>
      </c>
      <c r="J119" s="214" t="str">
        <f t="shared" ref="J119:J128" si="30">IF(B119="","",(F119+G119)-I119)</f>
        <v/>
      </c>
      <c r="K119" s="21" t="str">
        <f>IF(B119="","",SUMIFS('Input_APM (Zenith)'!N:N,'Input_APM (Zenith)'!L:L,Check!B119,'Input_APM (Zenith)'!M:M,Check!$F$1))</f>
        <v/>
      </c>
      <c r="L119" s="21" t="str">
        <f>IF(B119="","",SUMIFS('Input_APM (Zenith)'!N:N,'Input_APM (Zenith)'!L:L,Check!B119,'Input_APM (Zenith)'!M:M,Check!$G$1))</f>
        <v/>
      </c>
      <c r="M119" s="212" t="str">
        <f t="shared" ref="M119:M128" si="31">IF(B119="","",F119+G119+K119+L119)</f>
        <v/>
      </c>
      <c r="O119"/>
      <c r="P119" s="212" t="str">
        <f>IF(O119="","",IF(OR(LEFT(O119,4)="Cash",LEFT(O119,4)="Prov"),0,SUMIFS(Input_APM!N:N,Input_APM!L:L,Check!O119)))</f>
        <v/>
      </c>
      <c r="Q119" s="21" t="str">
        <f>IF(O119="","",IF(LEN(O119)&gt;9,SUMIFS(Options!$H$3:$H$32,Options!$B$3:$B$32,Check!O119),SUMIFS('Master P&amp;L'!$H$11:$H$106,'Master P&amp;L'!$B$11:$B$106,Check!O119)))</f>
        <v/>
      </c>
      <c r="R119" s="212" t="str">
        <f t="shared" si="27"/>
        <v/>
      </c>
      <c r="S119" s="355" t="str">
        <f t="shared" si="11"/>
        <v/>
      </c>
    </row>
    <row r="120" spans="3:20">
      <c r="C120" s="228" t="str">
        <f>IF(B120="","",IF(LEN(B120)&gt;9,SUMIFS(Options!$H$3:$H$32,Options!$B$3:$B$32,Check!B120),SUMIFS('Master P&amp;L'!$H$11:$H$106,'Master P&amp;L'!$B$11:$B$106,Check!B120)))</f>
        <v/>
      </c>
      <c r="D120" s="228" t="str">
        <f>IF(B120="","",SUMIFS(Input_APM!N:N,Input_APM!L:L,Check!B120,Input_APM!M:M,Check!$F$1))</f>
        <v/>
      </c>
      <c r="E120" s="212" t="str">
        <f t="shared" si="28"/>
        <v/>
      </c>
      <c r="F120" s="228" t="str">
        <f>IF(B120="","",SUMIFS(Input_APM!N:N,Input_APM!M:M,Check!$F$1,Input_APM!L:L,Check!B120))</f>
        <v/>
      </c>
      <c r="G120" s="228" t="str">
        <f>IF(B120="","",SUMIFS(Input_APM!N:N,Input_APM!M:M,Check!$G$1,Input_APM!L:L,Check!B120))</f>
        <v/>
      </c>
      <c r="H120" s="212" t="str">
        <f t="shared" si="29"/>
        <v/>
      </c>
      <c r="I120" s="212">
        <f>SUMIFS(Input_APM!N:N,Input_APM!L:L,Check!B120)</f>
        <v>0</v>
      </c>
      <c r="J120" s="214" t="str">
        <f t="shared" si="30"/>
        <v/>
      </c>
      <c r="K120" s="21" t="str">
        <f>IF(B120="","",SUMIFS('Input_APM (Zenith)'!N:N,'Input_APM (Zenith)'!L:L,Check!B120,'Input_APM (Zenith)'!M:M,Check!$F$1))</f>
        <v/>
      </c>
      <c r="L120" s="21" t="str">
        <f>IF(B120="","",SUMIFS('Input_APM (Zenith)'!N:N,'Input_APM (Zenith)'!L:L,Check!B120,'Input_APM (Zenith)'!M:M,Check!$G$1))</f>
        <v/>
      </c>
      <c r="M120" s="212" t="str">
        <f t="shared" si="31"/>
        <v/>
      </c>
      <c r="O120"/>
      <c r="P120" s="212" t="str">
        <f>IF(O120="","",IF(OR(LEFT(O120,4)="Cash",LEFT(O120,4)="Prov"),0,SUMIFS(Input_APM!N:N,Input_APM!L:L,Check!O120)))</f>
        <v/>
      </c>
      <c r="Q120" s="21" t="str">
        <f>IF(O120="","",IF(LEN(O120)&gt;9,SUMIFS(Options!$H$3:$H$32,Options!$B$3:$B$32,Check!O120),SUMIFS('Master P&amp;L'!$H$11:$H$106,'Master P&amp;L'!$B$11:$B$106,Check!O120)))</f>
        <v/>
      </c>
      <c r="R120" s="212" t="str">
        <f t="shared" si="27"/>
        <v/>
      </c>
      <c r="S120" s="355" t="str">
        <f t="shared" si="11"/>
        <v/>
      </c>
    </row>
    <row r="121" spans="3:20">
      <c r="C121" s="228" t="str">
        <f>IF(B121="","",IF(LEN(B121)&gt;9,SUMIFS(Options!$H$3:$H$32,Options!$B$3:$B$32,Check!B121),SUMIFS('Master P&amp;L'!$H$11:$H$106,'Master P&amp;L'!$B$11:$B$106,Check!B121)))</f>
        <v/>
      </c>
      <c r="D121" s="228" t="str">
        <f>IF(B121="","",SUMIFS(Input_APM!N:N,Input_APM!L:L,Check!B121,Input_APM!M:M,Check!$F$1))</f>
        <v/>
      </c>
      <c r="E121" s="212" t="str">
        <f t="shared" si="28"/>
        <v/>
      </c>
      <c r="F121" s="228" t="str">
        <f>IF(B121="","",SUMIFS(Input_APM!N:N,Input_APM!M:M,Check!$F$1,Input_APM!L:L,Check!B121))</f>
        <v/>
      </c>
      <c r="G121" s="228" t="str">
        <f>IF(B121="","",SUMIFS(Input_APM!N:N,Input_APM!M:M,Check!$G$1,Input_APM!L:L,Check!B121))</f>
        <v/>
      </c>
      <c r="H121" s="212" t="str">
        <f t="shared" si="29"/>
        <v/>
      </c>
      <c r="I121" s="212">
        <f>SUMIFS(Input_APM!N:N,Input_APM!L:L,Check!B121)</f>
        <v>0</v>
      </c>
      <c r="J121" s="214" t="str">
        <f t="shared" si="30"/>
        <v/>
      </c>
      <c r="K121" s="21" t="str">
        <f>IF(B121="","",SUMIFS('Input_APM (Zenith)'!N:N,'Input_APM (Zenith)'!L:L,Check!B121,'Input_APM (Zenith)'!M:M,Check!$F$1))</f>
        <v/>
      </c>
      <c r="L121" s="21" t="str">
        <f>IF(B121="","",SUMIFS('Input_APM (Zenith)'!N:N,'Input_APM (Zenith)'!L:L,Check!B121,'Input_APM (Zenith)'!M:M,Check!$G$1))</f>
        <v/>
      </c>
      <c r="M121" s="212" t="str">
        <f t="shared" si="31"/>
        <v/>
      </c>
      <c r="O121"/>
      <c r="P121" s="212" t="str">
        <f>IF(O121="","",IF(OR(LEFT(O121,4)="Cash",LEFT(O121,4)="Prov"),0,SUMIFS(Input_APM!N:N,Input_APM!L:L,Check!O121)))</f>
        <v/>
      </c>
      <c r="Q121" s="21" t="str">
        <f>IF(O121="","",IF(LEN(O121)&gt;9,SUMIFS(Options!$H$3:$H$32,Options!$B$3:$B$32,Check!O121),SUMIFS('Master P&amp;L'!$H$11:$H$106,'Master P&amp;L'!$B$11:$B$106,Check!O121)))</f>
        <v/>
      </c>
      <c r="R121" s="212" t="str">
        <f t="shared" si="27"/>
        <v/>
      </c>
      <c r="S121" s="355" t="str">
        <f t="shared" si="11"/>
        <v/>
      </c>
    </row>
    <row r="122" spans="3:20">
      <c r="C122" s="228" t="str">
        <f>IF(B122="","",IF(LEN(B122)&gt;9,SUMIFS(Options!$H$3:$H$32,Options!$B$3:$B$32,Check!B122),SUMIFS('Master P&amp;L'!$H$11:$H$106,'Master P&amp;L'!$B$11:$B$106,Check!B122)))</f>
        <v/>
      </c>
      <c r="D122" s="228" t="str">
        <f>IF(B122="","",SUMIFS(Input_APM!N:N,Input_APM!L:L,Check!B122,Input_APM!M:M,Check!$F$1))</f>
        <v/>
      </c>
      <c r="E122" s="212" t="str">
        <f t="shared" si="28"/>
        <v/>
      </c>
      <c r="F122" s="228" t="str">
        <f>IF(B122="","",SUMIFS(Input_APM!N:N,Input_APM!M:M,Check!$F$1,Input_APM!L:L,Check!B122))</f>
        <v/>
      </c>
      <c r="G122" s="228" t="str">
        <f>IF(B122="","",SUMIFS(Input_APM!N:N,Input_APM!M:M,Check!$G$1,Input_APM!L:L,Check!B122))</f>
        <v/>
      </c>
      <c r="H122" s="212" t="str">
        <f t="shared" si="29"/>
        <v/>
      </c>
      <c r="I122" s="212">
        <f>SUMIFS(Input_APM!N:N,Input_APM!L:L,Check!B122)</f>
        <v>0</v>
      </c>
      <c r="J122" s="214" t="str">
        <f t="shared" si="30"/>
        <v/>
      </c>
      <c r="K122" s="21" t="str">
        <f>IF(B122="","",SUMIFS('Input_APM (Zenith)'!N:N,'Input_APM (Zenith)'!L:L,Check!B122,'Input_APM (Zenith)'!M:M,Check!$F$1))</f>
        <v/>
      </c>
      <c r="L122" s="21" t="str">
        <f>IF(B122="","",SUMIFS('Input_APM (Zenith)'!N:N,'Input_APM (Zenith)'!L:L,Check!B122,'Input_APM (Zenith)'!M:M,Check!$G$1))</f>
        <v/>
      </c>
      <c r="M122" s="212" t="str">
        <f t="shared" si="31"/>
        <v/>
      </c>
      <c r="O122"/>
      <c r="P122" s="321" t="str">
        <f>IF(O122="","",IF(OR(LEFT(O122,4)="Cash",LEFT(O122,4)="Prov"),0,SUMIFS(Input_APM!N:N,Input_APM!L:L,Check!O122)))</f>
        <v/>
      </c>
      <c r="Q122" s="162" t="str">
        <f>IF(O122="","",IF(LEN(O122)&gt;9,SUMIFS(Options!$H$3:$H$32,Options!$B$3:$B$32,Check!O122),SUMIFS('Master P&amp;L'!$H$11:$H$106,'Master P&amp;L'!$B$11:$B$106,Check!O122)))</f>
        <v/>
      </c>
      <c r="R122" s="321" t="str">
        <f t="shared" si="27"/>
        <v/>
      </c>
      <c r="S122" s="355" t="str">
        <f t="shared" si="11"/>
        <v/>
      </c>
      <c r="T122" s="58"/>
    </row>
    <row r="123" spans="3:20">
      <c r="C123" s="228" t="str">
        <f>IF(B123="","",IF(LEN(B123)&gt;9,SUMIFS(Options!$H$3:$H$32,Options!$B$3:$B$32,Check!B123),SUMIFS('Master P&amp;L'!$H$11:$H$106,'Master P&amp;L'!$B$11:$B$106,Check!B123)))</f>
        <v/>
      </c>
      <c r="D123" s="228" t="str">
        <f>IF(B123="","",SUMIFS(Input_APM!N:N,Input_APM!L:L,Check!B123,Input_APM!M:M,Check!$F$1))</f>
        <v/>
      </c>
      <c r="E123" s="212" t="str">
        <f t="shared" si="28"/>
        <v/>
      </c>
      <c r="F123" s="228" t="str">
        <f>IF(B123="","",SUMIFS(Input_APM!N:N,Input_APM!M:M,Check!$F$1,Input_APM!L:L,Check!B123))</f>
        <v/>
      </c>
      <c r="G123" s="228" t="str">
        <f>IF(B123="","",SUMIFS(Input_APM!N:N,Input_APM!M:M,Check!$G$1,Input_APM!L:L,Check!B123))</f>
        <v/>
      </c>
      <c r="H123" s="212" t="str">
        <f t="shared" si="29"/>
        <v/>
      </c>
      <c r="I123" s="212">
        <f>SUMIFS(Input_APM!N:N,Input_APM!L:L,Check!B123)</f>
        <v>0</v>
      </c>
      <c r="J123" s="214" t="str">
        <f t="shared" si="30"/>
        <v/>
      </c>
      <c r="K123" s="21" t="str">
        <f>IF(B123="","",SUMIFS('Input_APM (Zenith)'!N:N,'Input_APM (Zenith)'!L:L,Check!B123,'Input_APM (Zenith)'!M:M,Check!$F$1))</f>
        <v/>
      </c>
      <c r="L123" s="21" t="str">
        <f>IF(B123="","",SUMIFS('Input_APM (Zenith)'!N:N,'Input_APM (Zenith)'!L:L,Check!B123,'Input_APM (Zenith)'!M:M,Check!$G$1))</f>
        <v/>
      </c>
      <c r="M123" s="212" t="str">
        <f t="shared" si="31"/>
        <v/>
      </c>
      <c r="O123"/>
      <c r="P123" s="212" t="str">
        <f>IF(O123="","",IF(OR(LEFT(O123,4)="Cash",LEFT(O123,4)="Prov"),0,SUMIFS(Input_APM!N:N,Input_APM!L:L,Check!O123)))</f>
        <v/>
      </c>
      <c r="Q123" s="21" t="str">
        <f>IF(O123="","",IF(LEN(O123)&gt;9,SUMIFS(Options!$H$3:$H$32,Options!$B$3:$B$32,Check!O123),SUMIFS('Master P&amp;L'!$H$11:$H$106,'Master P&amp;L'!$B$11:$B$106,Check!O123)))</f>
        <v/>
      </c>
      <c r="R123" s="212" t="str">
        <f t="shared" si="27"/>
        <v/>
      </c>
      <c r="S123" s="355" t="str">
        <f t="shared" si="11"/>
        <v/>
      </c>
    </row>
    <row r="124" spans="3:20">
      <c r="C124" s="228" t="str">
        <f>IF(B124="","",IF(LEN(B124)&gt;9,SUMIFS(Options!$H$3:$H$32,Options!$B$3:$B$32,Check!B124),SUMIFS('Master P&amp;L'!$H$11:$H$106,'Master P&amp;L'!$B$11:$B$106,Check!B124)))</f>
        <v/>
      </c>
      <c r="D124" s="228" t="str">
        <f>IF(B124="","",SUMIFS(Input_APM!N:N,Input_APM!L:L,Check!B124,Input_APM!M:M,Check!$F$1))</f>
        <v/>
      </c>
      <c r="E124" s="212" t="str">
        <f t="shared" si="28"/>
        <v/>
      </c>
      <c r="F124" s="228" t="str">
        <f>IF(B124="","",SUMIFS(Input_APM!N:N,Input_APM!M:M,Check!$F$1,Input_APM!L:L,Check!B124))</f>
        <v/>
      </c>
      <c r="G124" s="228" t="str">
        <f>IF(B124="","",SUMIFS(Input_APM!N:N,Input_APM!M:M,Check!$G$1,Input_APM!L:L,Check!B124))</f>
        <v/>
      </c>
      <c r="H124" s="212" t="str">
        <f t="shared" si="29"/>
        <v/>
      </c>
      <c r="I124" s="212">
        <f>SUMIFS(Input_APM!N:N,Input_APM!L:L,Check!B124)</f>
        <v>0</v>
      </c>
      <c r="J124" s="214" t="str">
        <f t="shared" si="30"/>
        <v/>
      </c>
      <c r="K124" s="21" t="str">
        <f>IF(B124="","",SUMIFS('Input_APM (Zenith)'!N:N,'Input_APM (Zenith)'!L:L,Check!B124,'Input_APM (Zenith)'!M:M,Check!$F$1))</f>
        <v/>
      </c>
      <c r="L124" s="21" t="str">
        <f>IF(B124="","",SUMIFS('Input_APM (Zenith)'!N:N,'Input_APM (Zenith)'!L:L,Check!B124,'Input_APM (Zenith)'!M:M,Check!$G$1))</f>
        <v/>
      </c>
      <c r="M124" s="212" t="str">
        <f t="shared" si="31"/>
        <v/>
      </c>
      <c r="O124"/>
      <c r="P124" s="212" t="str">
        <f>IF(O124="","",IF(OR(LEFT(O124,4)="Cash",LEFT(O124,4)="Prov"),0,SUMIFS(Input_APM!N:N,Input_APM!L:L,Check!O124)))</f>
        <v/>
      </c>
      <c r="Q124" s="21" t="str">
        <f>IF(O124="","",IF(LEN(O124)&gt;9,SUMIFS(Options!$H$3:$H$32,Options!$B$3:$B$32,Check!O124),SUMIFS('Master P&amp;L'!$H$11:$H$106,'Master P&amp;L'!$B$11:$B$106,Check!O124)))</f>
        <v/>
      </c>
      <c r="R124" s="212" t="str">
        <f t="shared" si="27"/>
        <v/>
      </c>
      <c r="S124" s="355" t="str">
        <f t="shared" si="11"/>
        <v/>
      </c>
    </row>
    <row r="125" spans="3:20">
      <c r="C125" s="228" t="str">
        <f>IF(B125="","",IF(LEN(B125)&gt;9,SUMIFS(Options!$H$3:$H$32,Options!$B$3:$B$32,Check!B125),SUMIFS('Master P&amp;L'!$H$11:$H$106,'Master P&amp;L'!$B$11:$B$106,Check!B125)))</f>
        <v/>
      </c>
      <c r="D125" s="228" t="str">
        <f>IF(B125="","",SUMIFS(Input_APM!N:N,Input_APM!L:L,Check!B125,Input_APM!M:M,Check!$F$1))</f>
        <v/>
      </c>
      <c r="E125" s="212" t="str">
        <f t="shared" si="28"/>
        <v/>
      </c>
      <c r="F125" s="228" t="str">
        <f>IF(B125="","",SUMIFS(Input_APM!N:N,Input_APM!M:M,Check!$F$1,Input_APM!L:L,Check!B125))</f>
        <v/>
      </c>
      <c r="G125" s="228" t="str">
        <f>IF(B125="","",SUMIFS(Input_APM!N:N,Input_APM!M:M,Check!$G$1,Input_APM!L:L,Check!B125))</f>
        <v/>
      </c>
      <c r="H125" s="212" t="str">
        <f t="shared" si="29"/>
        <v/>
      </c>
      <c r="I125" s="212">
        <f>SUMIFS(Input_APM!N:N,Input_APM!L:L,Check!B125)</f>
        <v>0</v>
      </c>
      <c r="J125" s="214" t="str">
        <f t="shared" si="30"/>
        <v/>
      </c>
      <c r="K125" s="21" t="str">
        <f>IF(B125="","",SUMIFS('Input_APM (Zenith)'!N:N,'Input_APM (Zenith)'!L:L,Check!B125,'Input_APM (Zenith)'!M:M,Check!$F$1))</f>
        <v/>
      </c>
      <c r="L125" s="21" t="str">
        <f>IF(B125="","",SUMIFS('Input_APM (Zenith)'!N:N,'Input_APM (Zenith)'!L:L,Check!B125,'Input_APM (Zenith)'!M:M,Check!$G$1))</f>
        <v/>
      </c>
      <c r="M125" s="212" t="str">
        <f t="shared" si="31"/>
        <v/>
      </c>
      <c r="O125"/>
      <c r="P125" s="212" t="str">
        <f>IF(O125="","",IF(OR(LEFT(O125,4)="Cash",LEFT(O125,4)="Prov"),0,SUMIFS(Input_APM!N:N,Input_APM!L:L,Check!O125)))</f>
        <v/>
      </c>
      <c r="Q125" s="21" t="str">
        <f>IF(O125="","",IF(LEN(O125)&gt;9,SUMIFS(Options!$H$3:$H$32,Options!$B$3:$B$32,Check!O125),SUMIFS('Master P&amp;L'!$H$11:$H$106,'Master P&amp;L'!$B$11:$B$106,Check!O125)))</f>
        <v/>
      </c>
      <c r="R125" s="212" t="str">
        <f>IF(O125="","",P125-Q125)</f>
        <v/>
      </c>
      <c r="S125" s="355" t="str">
        <f t="shared" si="11"/>
        <v/>
      </c>
    </row>
    <row r="126" spans="3:20">
      <c r="C126" s="228" t="str">
        <f>IF(B126="","",IF(LEN(B126)&gt;9,SUMIFS(Options!$H$3:$H$32,Options!$B$3:$B$32,Check!B126),SUMIFS('Master P&amp;L'!$H$11:$H$106,'Master P&amp;L'!$B$11:$B$106,Check!B126)))</f>
        <v/>
      </c>
      <c r="D126" s="228" t="str">
        <f>IF(B126="","",SUMIFS(Input_APM!N:N,Input_APM!L:L,Check!B126,Input_APM!M:M,Check!$F$1))</f>
        <v/>
      </c>
      <c r="E126" s="212" t="str">
        <f t="shared" si="28"/>
        <v/>
      </c>
      <c r="F126" s="228" t="str">
        <f>IF(B126="","",SUMIFS(Input_APM!N:N,Input_APM!M:M,Check!$F$1,Input_APM!L:L,Check!B126))</f>
        <v/>
      </c>
      <c r="G126" s="228" t="str">
        <f>IF(B126="","",SUMIFS(Input_APM!N:N,Input_APM!M:M,Check!$G$1,Input_APM!L:L,Check!B126))</f>
        <v/>
      </c>
      <c r="H126" s="212" t="str">
        <f t="shared" si="29"/>
        <v/>
      </c>
      <c r="I126" s="212">
        <f>SUMIFS(Input_APM!N:N,Input_APM!L:L,Check!B126)</f>
        <v>0</v>
      </c>
      <c r="J126" s="214" t="str">
        <f t="shared" si="30"/>
        <v/>
      </c>
      <c r="K126" s="21" t="str">
        <f>IF(B126="","",SUMIFS('Input_APM (Zenith)'!N:N,'Input_APM (Zenith)'!L:L,Check!B126,'Input_APM (Zenith)'!M:M,Check!$F$1))</f>
        <v/>
      </c>
      <c r="L126" s="21" t="str">
        <f>IF(B126="","",SUMIFS('Input_APM (Zenith)'!N:N,'Input_APM (Zenith)'!L:L,Check!B126,'Input_APM (Zenith)'!M:M,Check!$G$1))</f>
        <v/>
      </c>
      <c r="M126" s="212" t="str">
        <f t="shared" si="31"/>
        <v/>
      </c>
      <c r="O126"/>
      <c r="P126" s="212" t="str">
        <f>IF(O126="","",IF(OR(LEFT(O126,4)="Cash",LEFT(O126,4)="Prov"),0,SUMIFS(Input_APM!N:N,Input_APM!L:L,Check!O126)))</f>
        <v/>
      </c>
      <c r="Q126" s="21" t="str">
        <f>IF(O126="","",IF(LEN(O126)&gt;9,SUMIFS(Options!$H$3:$H$32,Options!$B$3:$B$32,Check!O126),SUMIFS('Master P&amp;L'!$H$11:$H$106,'Master P&amp;L'!$B$11:$B$106,Check!O126)))</f>
        <v/>
      </c>
      <c r="R126" s="212" t="str">
        <f>IF(O126="","",P126-Q126)</f>
        <v/>
      </c>
      <c r="S126" s="355" t="str">
        <f t="shared" si="11"/>
        <v/>
      </c>
    </row>
    <row r="127" spans="3:20">
      <c r="C127" s="228" t="str">
        <f>IF(B127="","",IF(LEN(B127)&gt;9,SUMIFS(Options!$H$3:$H$32,Options!$B$3:$B$32,Check!B127),SUMIFS('Master P&amp;L'!$H$11:$H$106,'Master P&amp;L'!$B$11:$B$106,Check!B127)))</f>
        <v/>
      </c>
      <c r="D127" s="228" t="str">
        <f>IF(B127="","",SUMIFS(Input_APM!N:N,Input_APM!L:L,Check!B127,Input_APM!M:M,Check!$F$1))</f>
        <v/>
      </c>
      <c r="E127" s="212" t="str">
        <f t="shared" si="28"/>
        <v/>
      </c>
      <c r="F127" s="228" t="str">
        <f>IF(B127="","",SUMIFS(Input_APM!N:N,Input_APM!M:M,Check!$F$1,Input_APM!L:L,Check!B127))</f>
        <v/>
      </c>
      <c r="G127" s="228" t="str">
        <f>IF(B127="","",SUMIFS(Input_APM!N:N,Input_APM!M:M,Check!$G$1,Input_APM!L:L,Check!B127))</f>
        <v/>
      </c>
      <c r="H127" s="212" t="str">
        <f t="shared" si="29"/>
        <v/>
      </c>
      <c r="I127" s="212">
        <f>SUMIFS(Input_APM!N:N,Input_APM!L:L,Check!B127)</f>
        <v>0</v>
      </c>
      <c r="J127" s="214" t="str">
        <f t="shared" si="30"/>
        <v/>
      </c>
      <c r="K127" s="21" t="str">
        <f>IF(B127="","",SUMIFS('Input_APM (Zenith)'!N:N,'Input_APM (Zenith)'!L:L,Check!B127,'Input_APM (Zenith)'!M:M,Check!$F$1))</f>
        <v/>
      </c>
      <c r="L127" s="21" t="str">
        <f>IF(B127="","",SUMIFS('Input_APM (Zenith)'!N:N,'Input_APM (Zenith)'!L:L,Check!B127,'Input_APM (Zenith)'!M:M,Check!$G$1))</f>
        <v/>
      </c>
      <c r="M127" s="212" t="str">
        <f t="shared" si="31"/>
        <v/>
      </c>
      <c r="O127"/>
      <c r="P127" s="212" t="str">
        <f>IF(O127="","",IF(OR(LEFT(O127,4)="Cash",LEFT(O127,4)="Prov"),0,SUMIFS(Input_APM!N:N,Input_APM!L:L,Check!O127)))</f>
        <v/>
      </c>
      <c r="Q127" s="21" t="str">
        <f>IF(O127="","",IF(LEN(O127)&gt;9,SUMIFS(Options!$H$3:$H$32,Options!$B$3:$B$32,Check!O127),SUMIFS('Master P&amp;L'!$H$11:$H$106,'Master P&amp;L'!$B$11:$B$106,Check!O127)))</f>
        <v/>
      </c>
      <c r="R127" s="212" t="str">
        <f t="shared" ref="R127:R133" si="32">IF(O127="","",P127-Q127)</f>
        <v/>
      </c>
      <c r="S127" s="355" t="str">
        <f t="shared" si="11"/>
        <v/>
      </c>
    </row>
    <row r="128" spans="3:20">
      <c r="C128" s="228" t="str">
        <f>IF(B128="","",IF(LEN(B128)&gt;9,SUMIFS(Options!$H$3:$H$32,Options!$B$3:$B$32,Check!B128),SUMIFS('Master P&amp;L'!$H$11:$H$106,'Master P&amp;L'!$B$11:$B$106,Check!B128)))</f>
        <v/>
      </c>
      <c r="D128" s="228" t="str">
        <f>IF(B128="","",SUMIFS(Input_APM!N:N,Input_APM!L:L,Check!B128,Input_APM!M:M,Check!$F$1))</f>
        <v/>
      </c>
      <c r="E128" s="212" t="str">
        <f t="shared" si="28"/>
        <v/>
      </c>
      <c r="F128" s="228" t="str">
        <f>IF(B128="","",SUMIFS(Input_APM!N:N,Input_APM!M:M,Check!$F$1,Input_APM!L:L,Check!B128))</f>
        <v/>
      </c>
      <c r="G128" s="228" t="str">
        <f>IF(B128="","",SUMIFS(Input_APM!N:N,Input_APM!M:M,Check!$G$1,Input_APM!L:L,Check!B128))</f>
        <v/>
      </c>
      <c r="H128" s="212" t="str">
        <f t="shared" si="29"/>
        <v/>
      </c>
      <c r="I128" s="212">
        <f>SUMIFS(Input_APM!N:N,Input_APM!L:L,Check!B128)</f>
        <v>0</v>
      </c>
      <c r="J128" s="214" t="str">
        <f t="shared" si="30"/>
        <v/>
      </c>
      <c r="K128" s="21" t="str">
        <f>IF(B128="","",SUMIFS('Input_APM (Zenith)'!N:N,'Input_APM (Zenith)'!L:L,Check!B128,'Input_APM (Zenith)'!M:M,Check!$F$1))</f>
        <v/>
      </c>
      <c r="L128" s="21" t="str">
        <f>IF(B128="","",SUMIFS('Input_APM (Zenith)'!N:N,'Input_APM (Zenith)'!L:L,Check!B128,'Input_APM (Zenith)'!M:M,Check!$G$1))</f>
        <v/>
      </c>
      <c r="M128" s="212" t="str">
        <f t="shared" si="31"/>
        <v/>
      </c>
      <c r="O128"/>
      <c r="P128" s="212" t="str">
        <f>IF(O128="","",IF(OR(LEFT(O128,4)="Cash",LEFT(O128,4)="Prov"),0,SUMIFS(Input_APM!N:N,Input_APM!L:L,Check!O128)))</f>
        <v/>
      </c>
      <c r="Q128" s="21" t="str">
        <f>IF(O128="","",IF(LEN(O128)&gt;9,SUMIFS(Options!$H$3:$H$32,Options!$B$3:$B$32,Check!O128),SUMIFS('Master P&amp;L'!$H$11:$H$106,'Master P&amp;L'!$B$11:$B$106,Check!O128)))</f>
        <v/>
      </c>
      <c r="R128" s="212" t="str">
        <f t="shared" si="32"/>
        <v/>
      </c>
      <c r="S128" s="355" t="str">
        <f t="shared" si="11"/>
        <v/>
      </c>
    </row>
    <row r="129" spans="3:20">
      <c r="C129" s="228" t="str">
        <f>IF(B129="","",IF(LEN(B129)&gt;9,SUMIFS(Options!$H$3:$H$32,Options!$B$3:$B$32,Check!B129),SUMIFS('Master P&amp;L'!$H$11:$H$106,'Master P&amp;L'!$B$11:$B$106,Check!B129)))</f>
        <v/>
      </c>
      <c r="D129" s="228" t="str">
        <f>IF(B129="","",SUMIFS(Input_APM!N:N,Input_APM!L:L,Check!B129,Input_APM!M:M,Check!$F$1))</f>
        <v/>
      </c>
      <c r="E129" s="212" t="str">
        <f t="shared" ref="E129:E135" si="33">IF(B129="","",C129-M129)</f>
        <v/>
      </c>
      <c r="F129" s="228" t="str">
        <f>IF(B129="","",SUMIFS(Input_APM!N:N,Input_APM!M:M,Check!$F$1,Input_APM!L:L,Check!B129))</f>
        <v/>
      </c>
      <c r="G129" s="228" t="str">
        <f>IF(B129="","",SUMIFS(Input_APM!N:N,Input_APM!M:M,Check!$G$1,Input_APM!L:L,Check!B129))</f>
        <v/>
      </c>
      <c r="H129" s="212" t="str">
        <f t="shared" ref="H129:H135" si="34">IF(B129="","",F129-G129)</f>
        <v/>
      </c>
      <c r="I129" s="212">
        <f>SUMIFS(Input_APM!N:N,Input_APM!L:L,Check!B129)</f>
        <v>0</v>
      </c>
      <c r="J129" s="214" t="str">
        <f t="shared" ref="J129:J135" si="35">IF(B129="","",(F129+G129)-I129)</f>
        <v/>
      </c>
      <c r="K129" s="21" t="str">
        <f>IF(B129="","",SUMIFS('Input_APM (Zenith)'!N:N,'Input_APM (Zenith)'!L:L,Check!B129,'Input_APM (Zenith)'!M:M,Check!$F$1))</f>
        <v/>
      </c>
      <c r="L129" s="21" t="str">
        <f>IF(B129="","",SUMIFS('Input_APM (Zenith)'!N:N,'Input_APM (Zenith)'!L:L,Check!B129,'Input_APM (Zenith)'!M:M,Check!$G$1))</f>
        <v/>
      </c>
      <c r="M129" s="212" t="str">
        <f t="shared" ref="M129:M135" si="36">IF(B129="","",F129+G129+K129+L129)</f>
        <v/>
      </c>
      <c r="O129"/>
      <c r="P129" s="212" t="str">
        <f>IF(O129="","",IF(OR(LEFT(O129,4)="Cash",LEFT(O129,4)="Prov"),0,SUMIFS(Input_APM!N:N,Input_APM!L:L,Check!O129)))</f>
        <v/>
      </c>
      <c r="Q129" s="21" t="str">
        <f>IF(O129="","",IF(LEN(O129)&gt;9,SUMIFS(Options!$H$3:$H$32,Options!$B$3:$B$32,Check!O129),SUMIFS('Master P&amp;L'!$H$11:$H$106,'Master P&amp;L'!$B$11:$B$106,Check!O129)))</f>
        <v/>
      </c>
      <c r="R129" s="212" t="str">
        <f t="shared" si="32"/>
        <v/>
      </c>
      <c r="S129" s="355" t="str">
        <f t="shared" si="11"/>
        <v/>
      </c>
    </row>
    <row r="130" spans="3:20">
      <c r="C130" s="228" t="str">
        <f>IF(B130="","",IF(LEN(B130)&gt;9,SUMIFS(Options!$H$3:$H$32,Options!$B$3:$B$32,Check!B130),SUMIFS('Master P&amp;L'!$H$11:$H$106,'Master P&amp;L'!$B$11:$B$106,Check!B130)))</f>
        <v/>
      </c>
      <c r="D130" s="228" t="str">
        <f>IF(B130="","",SUMIFS(Input_APM!N:N,Input_APM!L:L,Check!B130,Input_APM!M:M,Check!$F$1))</f>
        <v/>
      </c>
      <c r="E130" s="212" t="str">
        <f t="shared" si="33"/>
        <v/>
      </c>
      <c r="F130" s="228" t="str">
        <f>IF(B130="","",SUMIFS(Input_APM!N:N,Input_APM!M:M,Check!$F$1,Input_APM!L:L,Check!B130))</f>
        <v/>
      </c>
      <c r="G130" s="228" t="str">
        <f>IF(B130="","",SUMIFS(Input_APM!N:N,Input_APM!M:M,Check!$G$1,Input_APM!L:L,Check!B130))</f>
        <v/>
      </c>
      <c r="H130" s="212" t="str">
        <f t="shared" si="34"/>
        <v/>
      </c>
      <c r="I130" s="212">
        <f>SUMIFS(Input_APM!N:N,Input_APM!L:L,Check!B130)</f>
        <v>0</v>
      </c>
      <c r="J130" s="214" t="str">
        <f t="shared" si="35"/>
        <v/>
      </c>
      <c r="K130" s="21" t="str">
        <f>IF(B130="","",SUMIFS('Input_APM (Zenith)'!N:N,'Input_APM (Zenith)'!L:L,Check!B130,'Input_APM (Zenith)'!M:M,Check!$F$1))</f>
        <v/>
      </c>
      <c r="L130" s="21" t="str">
        <f>IF(B130="","",SUMIFS('Input_APM (Zenith)'!N:N,'Input_APM (Zenith)'!L:L,Check!B130,'Input_APM (Zenith)'!M:M,Check!$G$1))</f>
        <v/>
      </c>
      <c r="M130" s="212" t="str">
        <f t="shared" si="36"/>
        <v/>
      </c>
      <c r="O130"/>
      <c r="P130" s="212" t="str">
        <f>IF(O130="","",IF(OR(LEFT(O130,4)="Cash",LEFT(O130,4)="Prov"),0,SUMIFS(Input_APM!N:N,Input_APM!L:L,Check!O130)))</f>
        <v/>
      </c>
      <c r="Q130" s="21" t="str">
        <f>IF(O130="","",IF(LEN(O130)&gt;9,SUMIFS(Options!$H$3:$H$32,Options!$B$3:$B$32,Check!O130),SUMIFS('Master P&amp;L'!$H$11:$H$106,'Master P&amp;L'!$B$11:$B$106,Check!O130)))</f>
        <v/>
      </c>
      <c r="R130" s="212" t="str">
        <f t="shared" si="32"/>
        <v/>
      </c>
      <c r="S130" s="355" t="str">
        <f t="shared" si="11"/>
        <v/>
      </c>
    </row>
    <row r="131" spans="3:20">
      <c r="C131" s="228" t="str">
        <f>IF(B131="","",IF(LEN(B131)&gt;9,SUMIFS(Options!$H$3:$H$32,Options!$B$3:$B$32,Check!B131),SUMIFS('Master P&amp;L'!$H$11:$H$106,'Master P&amp;L'!$B$11:$B$106,Check!B131)))</f>
        <v/>
      </c>
      <c r="D131" s="228" t="str">
        <f>IF(B131="","",SUMIFS(Input_APM!N:N,Input_APM!L:L,Check!B131,Input_APM!M:M,Check!$F$1))</f>
        <v/>
      </c>
      <c r="E131" s="212" t="str">
        <f t="shared" si="33"/>
        <v/>
      </c>
      <c r="F131" s="228" t="str">
        <f>IF(B131="","",SUMIFS(Input_APM!N:N,Input_APM!M:M,Check!$F$1,Input_APM!L:L,Check!B131))</f>
        <v/>
      </c>
      <c r="G131" s="228" t="str">
        <f>IF(B131="","",SUMIFS(Input_APM!N:N,Input_APM!M:M,Check!$G$1,Input_APM!L:L,Check!B131))</f>
        <v/>
      </c>
      <c r="H131" s="212" t="str">
        <f t="shared" si="34"/>
        <v/>
      </c>
      <c r="I131" s="212">
        <f>SUMIFS(Input_APM!N:N,Input_APM!L:L,Check!B131)</f>
        <v>0</v>
      </c>
      <c r="J131" s="214" t="str">
        <f t="shared" si="35"/>
        <v/>
      </c>
      <c r="K131" s="21" t="str">
        <f>IF(B131="","",SUMIFS('Input_APM (Zenith)'!N:N,'Input_APM (Zenith)'!L:L,Check!B131,'Input_APM (Zenith)'!M:M,Check!$F$1))</f>
        <v/>
      </c>
      <c r="L131" s="21" t="str">
        <f>IF(B131="","",SUMIFS('Input_APM (Zenith)'!N:N,'Input_APM (Zenith)'!L:L,Check!B131,'Input_APM (Zenith)'!M:M,Check!$G$1))</f>
        <v/>
      </c>
      <c r="M131" s="212" t="str">
        <f t="shared" si="36"/>
        <v/>
      </c>
      <c r="O131"/>
      <c r="P131" s="212" t="str">
        <f>IF(O131="","",IF(OR(LEFT(O131,4)="Cash",LEFT(O131,4)="Prov"),0,SUMIFS(Input_APM!N:N,Input_APM!L:L,Check!O131)))</f>
        <v/>
      </c>
      <c r="Q131" s="21" t="str">
        <f>IF(O131="","",IF(LEN(O131)&gt;9,SUMIFS(Options!$H$3:$H$32,Options!$B$3:$B$32,Check!O131),SUMIFS('Master P&amp;L'!$H$11:$H$106,'Master P&amp;L'!$B$11:$B$106,Check!O131)))</f>
        <v/>
      </c>
      <c r="R131" s="212" t="str">
        <f t="shared" si="32"/>
        <v/>
      </c>
      <c r="S131" s="355" t="str">
        <f t="shared" si="11"/>
        <v/>
      </c>
    </row>
    <row r="132" spans="3:20">
      <c r="C132" s="228" t="str">
        <f>IF(B132="","",IF(LEN(B132)&gt;9,SUMIFS(Options!$H$3:$H$32,Options!$B$3:$B$32,Check!B132),SUMIFS('Master P&amp;L'!$H$11:$H$106,'Master P&amp;L'!$B$11:$B$106,Check!B132)))</f>
        <v/>
      </c>
      <c r="D132" s="228" t="str">
        <f>IF(B132="","",SUMIFS(Input_APM!N:N,Input_APM!L:L,Check!B132,Input_APM!M:M,Check!$F$1))</f>
        <v/>
      </c>
      <c r="E132" s="212" t="str">
        <f t="shared" si="33"/>
        <v/>
      </c>
      <c r="F132" s="228" t="str">
        <f>IF(B132="","",SUMIFS(Input_APM!N:N,Input_APM!M:M,Check!$F$1,Input_APM!L:L,Check!B132))</f>
        <v/>
      </c>
      <c r="G132" s="228" t="str">
        <f>IF(B132="","",SUMIFS(Input_APM!N:N,Input_APM!M:M,Check!$G$1,Input_APM!L:L,Check!B132))</f>
        <v/>
      </c>
      <c r="H132" s="212" t="str">
        <f t="shared" si="34"/>
        <v/>
      </c>
      <c r="I132" s="212">
        <f>SUMIFS(Input_APM!N:N,Input_APM!L:L,Check!B132)</f>
        <v>0</v>
      </c>
      <c r="J132" s="214" t="str">
        <f t="shared" si="35"/>
        <v/>
      </c>
      <c r="K132" s="21" t="str">
        <f>IF(B132="","",SUMIFS('Input_APM (Zenith)'!N:N,'Input_APM (Zenith)'!L:L,Check!B132,'Input_APM (Zenith)'!M:M,Check!$F$1))</f>
        <v/>
      </c>
      <c r="L132" s="21" t="str">
        <f>IF(B132="","",SUMIFS('Input_APM (Zenith)'!N:N,'Input_APM (Zenith)'!L:L,Check!B132,'Input_APM (Zenith)'!M:M,Check!$G$1))</f>
        <v/>
      </c>
      <c r="M132" s="212" t="str">
        <f t="shared" si="36"/>
        <v/>
      </c>
      <c r="O132"/>
      <c r="P132" s="212" t="str">
        <f>IF(O132="","",IF(OR(LEFT(O132,4)="Cash",LEFT(O132,4)="Prov"),0,SUMIFS(Input_APM!N:N,Input_APM!L:L,Check!O132)))</f>
        <v/>
      </c>
      <c r="Q132" s="21" t="str">
        <f>IF(O132="","",IF(LEN(O132)&gt;9,SUMIFS(Options!$H$3:$H$32,Options!$B$3:$B$32,Check!O132),SUMIFS('Master P&amp;L'!$H$11:$H$106,'Master P&amp;L'!$B$11:$B$106,Check!O132)))</f>
        <v/>
      </c>
      <c r="R132" s="212" t="str">
        <f t="shared" si="32"/>
        <v/>
      </c>
      <c r="S132" s="355" t="str">
        <f t="shared" si="11"/>
        <v/>
      </c>
    </row>
    <row r="133" spans="3:20">
      <c r="C133" s="228" t="str">
        <f>IF(B133="","",IF(LEN(B133)&gt;9,SUMIFS(Options!$H$3:$H$32,Options!$B$3:$B$32,Check!B133),SUMIFS('Master P&amp;L'!$H$11:$H$106,'Master P&amp;L'!$B$11:$B$106,Check!B133)))</f>
        <v/>
      </c>
      <c r="D133" s="228" t="str">
        <f>IF(B133="","",SUMIFS(Input_APM!N:N,Input_APM!L:L,Check!B133,Input_APM!M:M,Check!$F$1))</f>
        <v/>
      </c>
      <c r="E133" s="212" t="str">
        <f t="shared" si="33"/>
        <v/>
      </c>
      <c r="F133" s="228" t="str">
        <f>IF(B133="","",SUMIFS(Input_APM!N:N,Input_APM!M:M,Check!$F$1,Input_APM!L:L,Check!B133))</f>
        <v/>
      </c>
      <c r="G133" s="228" t="str">
        <f>IF(B133="","",SUMIFS(Input_APM!N:N,Input_APM!M:M,Check!$G$1,Input_APM!L:L,Check!B133))</f>
        <v/>
      </c>
      <c r="H133" s="212" t="str">
        <f t="shared" si="34"/>
        <v/>
      </c>
      <c r="I133" s="212">
        <f>SUMIFS(Input_APM!N:N,Input_APM!L:L,Check!B133)</f>
        <v>0</v>
      </c>
      <c r="J133" s="214" t="str">
        <f t="shared" si="35"/>
        <v/>
      </c>
      <c r="K133" s="21" t="str">
        <f>IF(B133="","",SUMIFS('Input_APM (Zenith)'!N:N,'Input_APM (Zenith)'!L:L,Check!B133,'Input_APM (Zenith)'!M:M,Check!$F$1))</f>
        <v/>
      </c>
      <c r="L133" s="21" t="str">
        <f>IF(B133="","",SUMIFS('Input_APM (Zenith)'!N:N,'Input_APM (Zenith)'!L:L,Check!B133,'Input_APM (Zenith)'!M:M,Check!$G$1))</f>
        <v/>
      </c>
      <c r="M133" s="212" t="str">
        <f t="shared" si="36"/>
        <v/>
      </c>
      <c r="O133"/>
      <c r="P133" s="212" t="str">
        <f>IF(O133="","",IF(OR(LEFT(O133,4)="Cash",LEFT(O133,4)="Prov"),0,SUMIFS(Input_APM!N:N,Input_APM!L:L,Check!O133)))</f>
        <v/>
      </c>
      <c r="Q133" s="21" t="str">
        <f>IF(O133="","",IF(LEN(O133)&gt;9,SUMIFS(Options!$H$3:$H$32,Options!$B$3:$B$32,Check!O133),SUMIFS('Master P&amp;L'!$H$11:$H$106,'Master P&amp;L'!$B$11:$B$106,Check!O133)))</f>
        <v/>
      </c>
      <c r="R133" s="212" t="str">
        <f t="shared" si="32"/>
        <v/>
      </c>
      <c r="S133" s="355" t="str">
        <f t="shared" si="11"/>
        <v/>
      </c>
    </row>
    <row r="134" spans="3:20">
      <c r="C134" s="228" t="str">
        <f>IF(B134="","",IF(LEN(B134)&gt;9,SUMIFS(Options!$H$3:$H$32,Options!$B$3:$B$32,Check!B134),SUMIFS('Master P&amp;L'!$H$11:$H$106,'Master P&amp;L'!$B$11:$B$106,Check!B134)))</f>
        <v/>
      </c>
      <c r="D134" s="228" t="str">
        <f>IF(B134="","",SUMIFS(Input_APM!N:N,Input_APM!L:L,Check!B134,Input_APM!M:M,Check!$F$1))</f>
        <v/>
      </c>
      <c r="E134" s="212" t="str">
        <f t="shared" si="33"/>
        <v/>
      </c>
      <c r="F134" s="228" t="str">
        <f>IF(B134="","",SUMIFS(Input_APM!N:N,Input_APM!M:M,Check!$F$1,Input_APM!L:L,Check!B134))</f>
        <v/>
      </c>
      <c r="G134" s="228" t="str">
        <f>IF(B134="","",SUMIFS(Input_APM!N:N,Input_APM!M:M,Check!$G$1,Input_APM!L:L,Check!B134))</f>
        <v/>
      </c>
      <c r="H134" s="212" t="str">
        <f t="shared" si="34"/>
        <v/>
      </c>
      <c r="I134" s="212">
        <f>SUMIFS(Input_APM!N:N,Input_APM!L:L,Check!B134)</f>
        <v>0</v>
      </c>
      <c r="J134" s="214" t="str">
        <f t="shared" si="35"/>
        <v/>
      </c>
      <c r="K134" s="21" t="str">
        <f>IF(B134="","",SUMIFS('Input_APM (Zenith)'!N:N,'Input_APM (Zenith)'!L:L,Check!B134,'Input_APM (Zenith)'!M:M,Check!$F$1))</f>
        <v/>
      </c>
      <c r="L134" s="21" t="str">
        <f>IF(B134="","",SUMIFS('Input_APM (Zenith)'!N:N,'Input_APM (Zenith)'!L:L,Check!B134,'Input_APM (Zenith)'!M:M,Check!$G$1))</f>
        <v/>
      </c>
      <c r="M134" s="212" t="str">
        <f t="shared" si="36"/>
        <v/>
      </c>
      <c r="O134"/>
      <c r="P134" s="212" t="str">
        <f>IF(O134="","",IF(OR(LEFT(O134,4)="Cash",LEFT(O134,4)="Prov"),0,SUMIFS(Input_APM!N:N,Input_APM!L:L,Check!O134)))</f>
        <v/>
      </c>
      <c r="Q134" s="21" t="str">
        <f>IF(O134="","",IF(LEN(O134)&gt;9,SUMIFS(Options!$H$3:$H$32,Options!$B$3:$B$32,Check!O134),SUMIFS('Master P&amp;L'!$H$11:$H$106,'Master P&amp;L'!$B$11:$B$106,Check!O134)))</f>
        <v/>
      </c>
      <c r="R134" s="212" t="str">
        <f>IF(O134="","",P134-Q134)</f>
        <v/>
      </c>
      <c r="S134" s="355" t="str">
        <f t="shared" ref="S134:S197" si="37">IF(O134="","",IF((P134+Q134)=0,"Ok",IF(OR(P134=0,Q134=0),"Erro",P134/Q134)))</f>
        <v/>
      </c>
    </row>
    <row r="135" spans="3:20">
      <c r="C135" s="228" t="str">
        <f>IF(B135="","",IF(LEN(B135)&gt;9,SUMIFS(Options!$H$3:$H$32,Options!$B$3:$B$32,Check!B135),SUMIFS('Master P&amp;L'!$H$11:$H$106,'Master P&amp;L'!$B$11:$B$106,Check!B135)))</f>
        <v/>
      </c>
      <c r="D135" s="228" t="str">
        <f>IF(B135="","",SUMIFS(Input_APM!N:N,Input_APM!L:L,Check!B135,Input_APM!M:M,Check!$F$1))</f>
        <v/>
      </c>
      <c r="E135" s="212" t="str">
        <f t="shared" si="33"/>
        <v/>
      </c>
      <c r="F135" s="228" t="str">
        <f>IF(B135="","",SUMIFS(Input_APM!N:N,Input_APM!M:M,Check!$F$1,Input_APM!L:L,Check!B135))</f>
        <v/>
      </c>
      <c r="G135" s="228" t="str">
        <f>IF(B135="","",SUMIFS(Input_APM!N:N,Input_APM!M:M,Check!$G$1,Input_APM!L:L,Check!B135))</f>
        <v/>
      </c>
      <c r="H135" s="212" t="str">
        <f t="shared" si="34"/>
        <v/>
      </c>
      <c r="I135" s="212">
        <f>SUMIFS(Input_APM!N:N,Input_APM!L:L,Check!B135)</f>
        <v>0</v>
      </c>
      <c r="J135" s="214" t="str">
        <f t="shared" si="35"/>
        <v/>
      </c>
      <c r="K135" s="21" t="str">
        <f>IF(B135="","",SUMIFS('Input_APM (Zenith)'!N:N,'Input_APM (Zenith)'!L:L,Check!B135,'Input_APM (Zenith)'!M:M,Check!$F$1))</f>
        <v/>
      </c>
      <c r="L135" s="21" t="str">
        <f>IF(B135="","",SUMIFS('Input_APM (Zenith)'!N:N,'Input_APM (Zenith)'!L:L,Check!B135,'Input_APM (Zenith)'!M:M,Check!$G$1))</f>
        <v/>
      </c>
      <c r="M135" s="212" t="str">
        <f t="shared" si="36"/>
        <v/>
      </c>
      <c r="O135"/>
      <c r="P135" s="212" t="str">
        <f>IF(O135="","",IF(OR(LEFT(O135,4)="Cash",LEFT(O135,4)="Prov"),0,SUMIFS(Input_APM!N:N,Input_APM!L:L,Check!O135)))</f>
        <v/>
      </c>
      <c r="Q135" s="21" t="str">
        <f>IF(O135="","",IF(LEN(O135)&gt;9,SUMIFS(Options!$H$3:$H$32,Options!$B$3:$B$32,Check!O135),SUMIFS('Master P&amp;L'!$H$11:$H$106,'Master P&amp;L'!$B$11:$B$106,Check!O135)))</f>
        <v/>
      </c>
      <c r="R135" s="212" t="str">
        <f>IF(O135="","",P135-Q135)</f>
        <v/>
      </c>
      <c r="S135" s="355" t="str">
        <f t="shared" si="37"/>
        <v/>
      </c>
    </row>
    <row r="136" spans="3:20">
      <c r="C136" s="228" t="str">
        <f>IF(B136="","",IF(LEN(B136)&gt;9,SUMIFS(Options!$H$3:$H$32,Options!$B$3:$B$32,Check!B136),SUMIFS('Master P&amp;L'!$H$11:$H$106,'Master P&amp;L'!$B$11:$B$106,Check!B136)))</f>
        <v/>
      </c>
      <c r="D136" s="228" t="str">
        <f>IF(B136="","",SUMIFS(Input_APM!N:N,Input_APM!L:L,Check!B136,Input_APM!M:M,Check!$F$1))</f>
        <v/>
      </c>
      <c r="E136" s="212" t="str">
        <f t="shared" ref="E136:E150" si="38">IF(B136="","",C136-M136)</f>
        <v/>
      </c>
      <c r="F136" s="228" t="str">
        <f>IF(B136="","",SUMIFS(Input_APM!N:N,Input_APM!M:M,Check!$F$1,Input_APM!L:L,Check!B136))</f>
        <v/>
      </c>
      <c r="G136" s="228" t="str">
        <f>IF(B136="","",SUMIFS(Input_APM!N:N,Input_APM!M:M,Check!$G$1,Input_APM!L:L,Check!B136))</f>
        <v/>
      </c>
      <c r="H136" s="212" t="str">
        <f t="shared" ref="H136:H150" si="39">IF(B136="","",F136-G136)</f>
        <v/>
      </c>
      <c r="I136" s="212">
        <f>SUMIFS(Input_APM!N:N,Input_APM!L:L,Check!B136)</f>
        <v>0</v>
      </c>
      <c r="J136" s="214" t="str">
        <f t="shared" ref="J136:J150" si="40">IF(B136="","",(F136+G136)-I136)</f>
        <v/>
      </c>
      <c r="K136" s="21" t="str">
        <f>IF(B136="","",SUMIFS('Input_APM (Zenith)'!N:N,'Input_APM (Zenith)'!L:L,Check!B136,'Input_APM (Zenith)'!M:M,Check!$F$1))</f>
        <v/>
      </c>
      <c r="L136" s="21" t="str">
        <f>IF(B136="","",SUMIFS('Input_APM (Zenith)'!N:N,'Input_APM (Zenith)'!L:L,Check!B136,'Input_APM (Zenith)'!M:M,Check!$G$1))</f>
        <v/>
      </c>
      <c r="M136" s="212" t="str">
        <f t="shared" ref="M136:M150" si="41">IF(B136="","",F136+G136+K136+L136)</f>
        <v/>
      </c>
      <c r="O136"/>
      <c r="P136" s="212" t="str">
        <f>IF(O136="","",IF(OR(LEFT(O136,4)="Cash",LEFT(O136,4)="Prov"),0,SUMIFS(Input_APM!N:N,Input_APM!L:L,Check!O136)))</f>
        <v/>
      </c>
      <c r="Q136" s="21" t="str">
        <f>IF(O136="","",IF(LEN(O136)&gt;9,SUMIFS(Options!$H$3:$H$32,Options!$B$3:$B$32,Check!O136),SUMIFS('Master P&amp;L'!$H$11:$H$106,'Master P&amp;L'!$B$11:$B$106,Check!O136)))</f>
        <v/>
      </c>
      <c r="R136" s="212" t="str">
        <f t="shared" ref="R136:R142" si="42">IF(O136="","",P136-Q136)</f>
        <v/>
      </c>
      <c r="S136" s="355" t="str">
        <f t="shared" si="37"/>
        <v/>
      </c>
    </row>
    <row r="137" spans="3:20">
      <c r="C137" s="228" t="str">
        <f>IF(B137="","",IF(LEN(B137)&gt;9,SUMIFS(Options!$H$3:$H$32,Options!$B$3:$B$32,Check!B137),SUMIFS('Master P&amp;L'!$H$11:$H$106,'Master P&amp;L'!$B$11:$B$106,Check!B137)))</f>
        <v/>
      </c>
      <c r="D137" s="228" t="str">
        <f>IF(B137="","",SUMIFS(Input_APM!N:N,Input_APM!L:L,Check!B137,Input_APM!M:M,Check!$F$1))</f>
        <v/>
      </c>
      <c r="E137" s="212" t="str">
        <f t="shared" si="38"/>
        <v/>
      </c>
      <c r="F137" s="228" t="str">
        <f>IF(B137="","",SUMIFS(Input_APM!N:N,Input_APM!M:M,Check!$F$1,Input_APM!L:L,Check!B137))</f>
        <v/>
      </c>
      <c r="G137" s="228" t="str">
        <f>IF(B137="","",SUMIFS(Input_APM!N:N,Input_APM!M:M,Check!$G$1,Input_APM!L:L,Check!B137))</f>
        <v/>
      </c>
      <c r="H137" s="212" t="str">
        <f t="shared" si="39"/>
        <v/>
      </c>
      <c r="I137" s="212">
        <f>SUMIFS(Input_APM!N:N,Input_APM!L:L,Check!B137)</f>
        <v>0</v>
      </c>
      <c r="J137" s="214" t="str">
        <f t="shared" si="40"/>
        <v/>
      </c>
      <c r="K137" s="21" t="str">
        <f>IF(B137="","",SUMIFS('Input_APM (Zenith)'!N:N,'Input_APM (Zenith)'!L:L,Check!B137,'Input_APM (Zenith)'!M:M,Check!$F$1))</f>
        <v/>
      </c>
      <c r="L137" s="21" t="str">
        <f>IF(B137="","",SUMIFS('Input_APM (Zenith)'!N:N,'Input_APM (Zenith)'!L:L,Check!B137,'Input_APM (Zenith)'!M:M,Check!$G$1))</f>
        <v/>
      </c>
      <c r="M137" s="212" t="str">
        <f t="shared" si="41"/>
        <v/>
      </c>
      <c r="O137"/>
      <c r="P137" s="212" t="str">
        <f>IF(O137="","",IF(OR(LEFT(O137,4)="Cash",LEFT(O137,4)="Prov"),0,SUMIFS(Input_APM!N:N,Input_APM!L:L,Check!O137)))</f>
        <v/>
      </c>
      <c r="Q137" s="21" t="str">
        <f>IF(O137="","",IF(LEN(O137)&gt;9,SUMIFS(Options!$H$3:$H$32,Options!$B$3:$B$32,Check!O137),SUMIFS('Master P&amp;L'!$H$11:$H$106,'Master P&amp;L'!$B$11:$B$106,Check!O137)))</f>
        <v/>
      </c>
      <c r="R137" s="212" t="str">
        <f t="shared" si="42"/>
        <v/>
      </c>
      <c r="S137" s="355" t="str">
        <f t="shared" si="37"/>
        <v/>
      </c>
    </row>
    <row r="138" spans="3:20">
      <c r="C138" s="228" t="str">
        <f>IF(B138="","",IF(LEN(B138)&gt;9,SUMIFS(Options!$H$3:$H$32,Options!$B$3:$B$32,Check!B138),SUMIFS('Master P&amp;L'!$H$11:$H$106,'Master P&amp;L'!$B$11:$B$106,Check!B138)))</f>
        <v/>
      </c>
      <c r="D138" s="228" t="str">
        <f>IF(B138="","",SUMIFS(Input_APM!N:N,Input_APM!L:L,Check!B138,Input_APM!M:M,Check!$F$1))</f>
        <v/>
      </c>
      <c r="E138" s="212" t="str">
        <f t="shared" si="38"/>
        <v/>
      </c>
      <c r="F138" s="228" t="str">
        <f>IF(B138="","",SUMIFS(Input_APM!N:N,Input_APM!M:M,Check!$F$1,Input_APM!L:L,Check!B138))</f>
        <v/>
      </c>
      <c r="G138" s="228" t="str">
        <f>IF(B138="","",SUMIFS(Input_APM!N:N,Input_APM!M:M,Check!$G$1,Input_APM!L:L,Check!B138))</f>
        <v/>
      </c>
      <c r="H138" s="212" t="str">
        <f t="shared" si="39"/>
        <v/>
      </c>
      <c r="I138" s="212">
        <f>SUMIFS(Input_APM!N:N,Input_APM!L:L,Check!B138)</f>
        <v>0</v>
      </c>
      <c r="J138" s="214" t="str">
        <f t="shared" si="40"/>
        <v/>
      </c>
      <c r="K138" s="21" t="str">
        <f>IF(B138="","",SUMIFS('Input_APM (Zenith)'!N:N,'Input_APM (Zenith)'!L:L,Check!B138,'Input_APM (Zenith)'!M:M,Check!$F$1))</f>
        <v/>
      </c>
      <c r="L138" s="21" t="str">
        <f>IF(B138="","",SUMIFS('Input_APM (Zenith)'!N:N,'Input_APM (Zenith)'!L:L,Check!B138,'Input_APM (Zenith)'!M:M,Check!$G$1))</f>
        <v/>
      </c>
      <c r="M138" s="212" t="str">
        <f t="shared" si="41"/>
        <v/>
      </c>
      <c r="O138"/>
      <c r="P138" s="212" t="str">
        <f>IF(O138="","",IF(OR(LEFT(O138,4)="Cash",LEFT(O138,4)="Prov"),0,SUMIFS(Input_APM!N:N,Input_APM!L:L,Check!O138)))</f>
        <v/>
      </c>
      <c r="Q138" s="21" t="str">
        <f>IF(O138="","",IF(LEN(O138)&gt;9,SUMIFS(Options!$H$3:$H$32,Options!$B$3:$B$32,Check!O138),SUMIFS('Master P&amp;L'!$H$11:$H$106,'Master P&amp;L'!$B$11:$B$106,Check!O138)))</f>
        <v/>
      </c>
      <c r="R138" s="212" t="str">
        <f t="shared" si="42"/>
        <v/>
      </c>
      <c r="S138" s="355" t="str">
        <f t="shared" si="37"/>
        <v/>
      </c>
    </row>
    <row r="139" spans="3:20">
      <c r="C139" s="228" t="str">
        <f>IF(B139="","",IF(LEN(B139)&gt;9,SUMIFS(Options!$H$3:$H$32,Options!$B$3:$B$32,Check!B139),SUMIFS('Master P&amp;L'!$H$11:$H$106,'Master P&amp;L'!$B$11:$B$106,Check!B139)))</f>
        <v/>
      </c>
      <c r="D139" s="228" t="str">
        <f>IF(B139="","",SUMIFS(Input_APM!N:N,Input_APM!L:L,Check!B139,Input_APM!M:M,Check!$F$1))</f>
        <v/>
      </c>
      <c r="E139" s="212" t="str">
        <f t="shared" si="38"/>
        <v/>
      </c>
      <c r="F139" s="228" t="str">
        <f>IF(B139="","",SUMIFS(Input_APM!N:N,Input_APM!M:M,Check!$F$1,Input_APM!L:L,Check!B139))</f>
        <v/>
      </c>
      <c r="G139" s="228" t="str">
        <f>IF(B139="","",SUMIFS(Input_APM!N:N,Input_APM!M:M,Check!$G$1,Input_APM!L:L,Check!B139))</f>
        <v/>
      </c>
      <c r="H139" s="212" t="str">
        <f t="shared" si="39"/>
        <v/>
      </c>
      <c r="I139" s="212">
        <f>SUMIFS(Input_APM!N:N,Input_APM!L:L,Check!B139)</f>
        <v>0</v>
      </c>
      <c r="J139" s="214" t="str">
        <f t="shared" si="40"/>
        <v/>
      </c>
      <c r="K139" s="21" t="str">
        <f>IF(B139="","",SUMIFS('Input_APM (Zenith)'!N:N,'Input_APM (Zenith)'!L:L,Check!B139,'Input_APM (Zenith)'!M:M,Check!$F$1))</f>
        <v/>
      </c>
      <c r="L139" s="21" t="str">
        <f>IF(B139="","",SUMIFS('Input_APM (Zenith)'!N:N,'Input_APM (Zenith)'!L:L,Check!B139,'Input_APM (Zenith)'!M:M,Check!$G$1))</f>
        <v/>
      </c>
      <c r="M139" s="212" t="str">
        <f t="shared" si="41"/>
        <v/>
      </c>
      <c r="O139"/>
      <c r="P139" s="212" t="str">
        <f>IF(O139="","",IF(OR(LEFT(O139,4)="Cash",LEFT(O139,4)="Prov"),0,SUMIFS(Input_APM!N:N,Input_APM!L:L,Check!O139)))</f>
        <v/>
      </c>
      <c r="Q139" s="21" t="str">
        <f>IF(O139="","",IF(LEN(O139)&gt;9,SUMIFS(Options!$H$3:$H$32,Options!$B$3:$B$32,Check!O139),SUMIFS('Master P&amp;L'!$H$11:$H$106,'Master P&amp;L'!$B$11:$B$106,Check!O139)))</f>
        <v/>
      </c>
      <c r="R139" s="212" t="str">
        <f t="shared" si="42"/>
        <v/>
      </c>
      <c r="S139" s="355" t="str">
        <f t="shared" si="37"/>
        <v/>
      </c>
    </row>
    <row r="140" spans="3:20">
      <c r="C140" s="228" t="str">
        <f>IF(B140="","",IF(LEN(B140)&gt;9,SUMIFS(Options!$H$3:$H$32,Options!$B$3:$B$32,Check!B140),SUMIFS('Master P&amp;L'!$H$11:$H$106,'Master P&amp;L'!$B$11:$B$106,Check!B140)))</f>
        <v/>
      </c>
      <c r="D140" s="228" t="str">
        <f>IF(B140="","",SUMIFS(Input_APM!N:N,Input_APM!L:L,Check!B140,Input_APM!M:M,Check!$F$1))</f>
        <v/>
      </c>
      <c r="E140" s="212" t="str">
        <f t="shared" si="38"/>
        <v/>
      </c>
      <c r="F140" s="228" t="str">
        <f>IF(B140="","",SUMIFS(Input_APM!N:N,Input_APM!M:M,Check!$F$1,Input_APM!L:L,Check!B140))</f>
        <v/>
      </c>
      <c r="G140" s="228" t="str">
        <f>IF(B140="","",SUMIFS(Input_APM!N:N,Input_APM!M:M,Check!$G$1,Input_APM!L:L,Check!B140))</f>
        <v/>
      </c>
      <c r="H140" s="212" t="str">
        <f t="shared" si="39"/>
        <v/>
      </c>
      <c r="I140" s="212">
        <f>SUMIFS(Input_APM!N:N,Input_APM!L:L,Check!B140)</f>
        <v>0</v>
      </c>
      <c r="J140" s="214" t="str">
        <f t="shared" si="40"/>
        <v/>
      </c>
      <c r="K140" s="21" t="str">
        <f>IF(B140="","",SUMIFS('Input_APM (Zenith)'!N:N,'Input_APM (Zenith)'!L:L,Check!B140,'Input_APM (Zenith)'!M:M,Check!$F$1))</f>
        <v/>
      </c>
      <c r="L140" s="21" t="str">
        <f>IF(B140="","",SUMIFS('Input_APM (Zenith)'!N:N,'Input_APM (Zenith)'!L:L,Check!B140,'Input_APM (Zenith)'!M:M,Check!$G$1))</f>
        <v/>
      </c>
      <c r="M140" s="212" t="str">
        <f t="shared" si="41"/>
        <v/>
      </c>
      <c r="O140"/>
      <c r="P140" s="212" t="str">
        <f>IF(O140="","",IF(OR(LEFT(O140,4)="Cash",LEFT(O140,4)="Prov"),0,SUMIFS(Input_APM!N:N,Input_APM!L:L,Check!O140)))</f>
        <v/>
      </c>
      <c r="Q140" s="21" t="str">
        <f>IF(O140="","",IF(LEN(O140)&gt;9,SUMIFS(Options!$H$3:$H$32,Options!$B$3:$B$32,Check!O140),SUMIFS('Master P&amp;L'!$H$11:$H$106,'Master P&amp;L'!$B$11:$B$106,Check!O140)))</f>
        <v/>
      </c>
      <c r="R140" s="212" t="str">
        <f t="shared" si="42"/>
        <v/>
      </c>
      <c r="S140" s="355" t="str">
        <f t="shared" si="37"/>
        <v/>
      </c>
    </row>
    <row r="141" spans="3:20">
      <c r="C141" s="228" t="str">
        <f>IF(B141="","",IF(LEN(B141)&gt;9,SUMIFS(Options!$H$3:$H$32,Options!$B$3:$B$32,Check!B141),SUMIFS('Master P&amp;L'!$H$11:$H$106,'Master P&amp;L'!$B$11:$B$106,Check!B141)))</f>
        <v/>
      </c>
      <c r="D141" s="228" t="str">
        <f>IF(B141="","",SUMIFS(Input_APM!N:N,Input_APM!L:L,Check!B141,Input_APM!M:M,Check!$F$1))</f>
        <v/>
      </c>
      <c r="E141" s="212" t="str">
        <f t="shared" si="38"/>
        <v/>
      </c>
      <c r="F141" s="228" t="str">
        <f>IF(B141="","",SUMIFS(Input_APM!N:N,Input_APM!M:M,Check!$F$1,Input_APM!L:L,Check!B141))</f>
        <v/>
      </c>
      <c r="G141" s="228" t="str">
        <f>IF(B141="","",SUMIFS(Input_APM!N:N,Input_APM!M:M,Check!$G$1,Input_APM!L:L,Check!B141))</f>
        <v/>
      </c>
      <c r="H141" s="212" t="str">
        <f t="shared" si="39"/>
        <v/>
      </c>
      <c r="I141" s="212">
        <f>SUMIFS(Input_APM!N:N,Input_APM!L:L,Check!B141)</f>
        <v>0</v>
      </c>
      <c r="J141" s="214" t="str">
        <f t="shared" si="40"/>
        <v/>
      </c>
      <c r="K141" s="21" t="str">
        <f>IF(B141="","",SUMIFS('Input_APM (Zenith)'!N:N,'Input_APM (Zenith)'!L:L,Check!B141,'Input_APM (Zenith)'!M:M,Check!$F$1))</f>
        <v/>
      </c>
      <c r="L141" s="21" t="str">
        <f>IF(B141="","",SUMIFS('Input_APM (Zenith)'!N:N,'Input_APM (Zenith)'!L:L,Check!B141,'Input_APM (Zenith)'!M:M,Check!$G$1))</f>
        <v/>
      </c>
      <c r="M141" s="212" t="str">
        <f t="shared" si="41"/>
        <v/>
      </c>
      <c r="O141"/>
      <c r="P141" s="212" t="str">
        <f>IF(O141="","",IF(OR(LEFT(O141,4)="Cash",LEFT(O141,4)="Prov"),0,SUMIFS(Input_APM!N:N,Input_APM!L:L,Check!O141)))</f>
        <v/>
      </c>
      <c r="Q141" s="21" t="str">
        <f>IF(O141="","",IF(LEN(O141)&gt;9,SUMIFS(Options!$H$3:$H$32,Options!$B$3:$B$32,Check!O141),SUMIFS('Master P&amp;L'!$H$11:$H$106,'Master P&amp;L'!$B$11:$B$106,Check!O141)))</f>
        <v/>
      </c>
      <c r="R141" s="212" t="str">
        <f t="shared" si="42"/>
        <v/>
      </c>
      <c r="S141" s="355" t="str">
        <f t="shared" si="37"/>
        <v/>
      </c>
      <c r="T141" t="s">
        <v>1770</v>
      </c>
    </row>
    <row r="142" spans="3:20">
      <c r="C142" s="228" t="str">
        <f>IF(B142="","",IF(LEN(B142)&gt;9,SUMIFS(Options!$H$3:$H$32,Options!$B$3:$B$32,Check!B142),SUMIFS('Master P&amp;L'!$H$11:$H$106,'Master P&amp;L'!$B$11:$B$106,Check!B142)))</f>
        <v/>
      </c>
      <c r="D142" s="228" t="str">
        <f>IF(B142="","",SUMIFS(Input_APM!N:N,Input_APM!L:L,Check!B142,Input_APM!M:M,Check!$F$1))</f>
        <v/>
      </c>
      <c r="E142" s="212" t="str">
        <f>IF(B142="","",C142-M142)</f>
        <v/>
      </c>
      <c r="F142" s="228" t="str">
        <f>IF(B142="","",SUMIFS(Input_APM!N:N,Input_APM!M:M,Check!$F$1,Input_APM!L:L,Check!B142))</f>
        <v/>
      </c>
      <c r="G142" s="228" t="str">
        <f>IF(B142="","",SUMIFS(Input_APM!N:N,Input_APM!M:M,Check!$G$1,Input_APM!L:L,Check!B142))</f>
        <v/>
      </c>
      <c r="H142" s="212" t="str">
        <f t="shared" si="39"/>
        <v/>
      </c>
      <c r="I142" s="212">
        <f>SUMIFS(Input_APM!N:N,Input_APM!L:L,Check!B142)</f>
        <v>0</v>
      </c>
      <c r="J142" s="214" t="str">
        <f t="shared" si="40"/>
        <v/>
      </c>
      <c r="K142" s="21" t="str">
        <f>IF(B142="","",SUMIFS('Input_APM (Zenith)'!N:N,'Input_APM (Zenith)'!L:L,Check!B142,'Input_APM (Zenith)'!M:M,Check!$F$1))</f>
        <v/>
      </c>
      <c r="L142" s="21" t="str">
        <f>IF(B142="","",SUMIFS('Input_APM (Zenith)'!N:N,'Input_APM (Zenith)'!L:L,Check!B142,'Input_APM (Zenith)'!M:M,Check!$G$1))</f>
        <v/>
      </c>
      <c r="M142" s="212" t="str">
        <f t="shared" si="41"/>
        <v/>
      </c>
      <c r="O142"/>
      <c r="P142" s="321" t="str">
        <f>IF(O142="","",IF(OR(LEFT(O142,4)="Cash",LEFT(O142,4)="Prov"),0,SUMIFS(Input_APM!N:N,Input_APM!L:L,Check!O142)))</f>
        <v/>
      </c>
      <c r="Q142" s="162" t="str">
        <f>IF(O142="","",IF(LEN(O142)&gt;9,SUMIFS(Options!$H$3:$H$32,Options!$B$3:$B$32,Check!O142),SUMIFS('Master P&amp;L'!$H$11:$H$106,'Master P&amp;L'!$B$11:$B$106,Check!O142)))</f>
        <v/>
      </c>
      <c r="R142" s="321" t="str">
        <f t="shared" si="42"/>
        <v/>
      </c>
      <c r="S142" s="355" t="str">
        <f t="shared" si="37"/>
        <v/>
      </c>
      <c r="T142" s="58" t="s">
        <v>1770</v>
      </c>
    </row>
    <row r="143" spans="3:20">
      <c r="C143" s="228" t="str">
        <f>IF(B143="","",IF(LEN(B143)&gt;9,SUMIFS(Options!$H$3:$H$32,Options!$B$3:$B$32,Check!B143),SUMIFS('Master P&amp;L'!$H$11:$H$106,'Master P&amp;L'!$B$11:$B$106,Check!B143)))</f>
        <v/>
      </c>
      <c r="D143" s="228" t="str">
        <f>IF(B143="","",SUMIFS(Input_APM!N:N,Input_APM!L:L,Check!B143,Input_APM!M:M,Check!$F$1))</f>
        <v/>
      </c>
      <c r="E143" s="212" t="str">
        <f t="shared" si="38"/>
        <v/>
      </c>
      <c r="F143" s="228" t="str">
        <f>IF(B143="","",SUMIFS(Input_APM!N:N,Input_APM!M:M,Check!$F$1,Input_APM!L:L,Check!B143))</f>
        <v/>
      </c>
      <c r="G143" s="228" t="str">
        <f>IF(B143="","",SUMIFS(Input_APM!N:N,Input_APM!M:M,Check!$G$1,Input_APM!L:L,Check!B143))</f>
        <v/>
      </c>
      <c r="H143" s="212" t="str">
        <f t="shared" si="39"/>
        <v/>
      </c>
      <c r="I143" s="212">
        <f>SUMIFS(Input_APM!N:N,Input_APM!L:L,Check!B143)</f>
        <v>0</v>
      </c>
      <c r="J143" s="214" t="str">
        <f t="shared" si="40"/>
        <v/>
      </c>
      <c r="K143" s="21" t="str">
        <f>IF(B143="","",SUMIFS('Input_APM (Zenith)'!N:N,'Input_APM (Zenith)'!L:L,Check!B143,'Input_APM (Zenith)'!M:M,Check!$F$1))</f>
        <v/>
      </c>
      <c r="L143" s="21" t="str">
        <f>IF(B143="","",SUMIFS('Input_APM (Zenith)'!N:N,'Input_APM (Zenith)'!L:L,Check!B143,'Input_APM (Zenith)'!M:M,Check!$G$1))</f>
        <v/>
      </c>
      <c r="M143" s="212" t="str">
        <f t="shared" si="41"/>
        <v/>
      </c>
      <c r="O143"/>
      <c r="P143" s="212" t="str">
        <f>IF(O143="","",IF(OR(LEFT(O143,4)="Cash",LEFT(O143,4)="Prov"),0,SUMIFS(Input_APM!N:N,Input_APM!L:L,Check!O143)))</f>
        <v/>
      </c>
      <c r="Q143" s="21" t="str">
        <f>IF(O143="","",IF(LEN(O143)&gt;9,SUMIFS(Options!$H$3:$H$32,Options!$B$3:$B$32,Check!O143),SUMIFS('Master P&amp;L'!$H$11:$H$106,'Master P&amp;L'!$B$11:$B$106,Check!O143)))</f>
        <v/>
      </c>
      <c r="R143" s="212" t="str">
        <f t="shared" ref="R143:R150" si="43">IF(O143="","",P143-Q143)</f>
        <v/>
      </c>
      <c r="S143" s="355" t="str">
        <f t="shared" si="37"/>
        <v/>
      </c>
    </row>
    <row r="144" spans="3:20">
      <c r="C144" s="228" t="str">
        <f>IF(B144="","",IF(LEN(B144)&gt;9,SUMIFS(Options!$H$3:$H$32,Options!$B$3:$B$32,Check!B144),SUMIFS('Master P&amp;L'!$H$11:$H$106,'Master P&amp;L'!$B$11:$B$106,Check!B144)))</f>
        <v/>
      </c>
      <c r="D144" s="228" t="str">
        <f>IF(B144="","",SUMIFS(Input_APM!N:N,Input_APM!L:L,Check!B144,Input_APM!M:M,Check!$F$1))</f>
        <v/>
      </c>
      <c r="E144" s="212" t="str">
        <f t="shared" si="38"/>
        <v/>
      </c>
      <c r="F144" s="228" t="str">
        <f>IF(B144="","",SUMIFS(Input_APM!N:N,Input_APM!M:M,Check!$F$1,Input_APM!L:L,Check!B144))</f>
        <v/>
      </c>
      <c r="G144" s="228" t="str">
        <f>IF(B144="","",SUMIFS(Input_APM!N:N,Input_APM!M:M,Check!$G$1,Input_APM!L:L,Check!B144))</f>
        <v/>
      </c>
      <c r="H144" s="212" t="str">
        <f t="shared" si="39"/>
        <v/>
      </c>
      <c r="I144" s="212">
        <f>SUMIFS(Input_APM!N:N,Input_APM!L:L,Check!B144)</f>
        <v>0</v>
      </c>
      <c r="J144" s="214" t="str">
        <f t="shared" si="40"/>
        <v/>
      </c>
      <c r="K144" s="21" t="str">
        <f>IF(B144="","",SUMIFS('Input_APM (Zenith)'!N:N,'Input_APM (Zenith)'!L:L,Check!B144,'Input_APM (Zenith)'!M:M,Check!$F$1))</f>
        <v/>
      </c>
      <c r="L144" s="21" t="str">
        <f>IF(B144="","",SUMIFS('Input_APM (Zenith)'!N:N,'Input_APM (Zenith)'!L:L,Check!B144,'Input_APM (Zenith)'!M:M,Check!$G$1))</f>
        <v/>
      </c>
      <c r="M144" s="212" t="str">
        <f t="shared" si="41"/>
        <v/>
      </c>
      <c r="O144"/>
      <c r="P144" s="212" t="str">
        <f>IF(O144="","",IF(OR(LEFT(O144,4)="Cash",LEFT(O144,4)="Prov"),0,SUMIFS(Input_APM!N:N,Input_APM!L:L,Check!O144)))</f>
        <v/>
      </c>
      <c r="Q144" s="21" t="str">
        <f>IF(O144="","",IF(LEN(O144)&gt;9,SUMIFS(Options!$H$3:$H$32,Options!$B$3:$B$32,Check!O144),SUMIFS('Master P&amp;L'!$H$11:$H$106,'Master P&amp;L'!$B$11:$B$106,Check!O144)))</f>
        <v/>
      </c>
      <c r="R144" s="212" t="str">
        <f t="shared" si="43"/>
        <v/>
      </c>
      <c r="S144" s="355" t="str">
        <f t="shared" si="37"/>
        <v/>
      </c>
    </row>
    <row r="145" spans="3:20">
      <c r="C145" s="228" t="str">
        <f>IF(B145="","",IF(LEN(B145)&gt;9,SUMIFS(Options!$H$3:$H$32,Options!$B$3:$B$32,Check!B145),SUMIFS('Master P&amp;L'!$H$11:$H$106,'Master P&amp;L'!$B$11:$B$106,Check!B145)))</f>
        <v/>
      </c>
      <c r="D145" s="228" t="str">
        <f>IF(B145="","",SUMIFS(Input_APM!N:N,Input_APM!L:L,Check!B145,Input_APM!M:M,Check!$F$1))</f>
        <v/>
      </c>
      <c r="E145" s="212" t="str">
        <f t="shared" si="38"/>
        <v/>
      </c>
      <c r="F145" s="228" t="str">
        <f>IF(B145="","",SUMIFS(Input_APM!N:N,Input_APM!M:M,Check!$F$1,Input_APM!L:L,Check!B145))</f>
        <v/>
      </c>
      <c r="G145" s="228" t="str">
        <f>IF(B145="","",SUMIFS(Input_APM!N:N,Input_APM!M:M,Check!$G$1,Input_APM!L:L,Check!B145))</f>
        <v/>
      </c>
      <c r="H145" s="212" t="str">
        <f t="shared" si="39"/>
        <v/>
      </c>
      <c r="I145" s="212">
        <f>SUMIFS(Input_APM!N:N,Input_APM!L:L,Check!B145)</f>
        <v>0</v>
      </c>
      <c r="J145" s="214" t="str">
        <f t="shared" si="40"/>
        <v/>
      </c>
      <c r="K145" s="21" t="str">
        <f>IF(B145="","",SUMIFS('Input_APM (Zenith)'!N:N,'Input_APM (Zenith)'!L:L,Check!B145,'Input_APM (Zenith)'!M:M,Check!$F$1))</f>
        <v/>
      </c>
      <c r="L145" s="21" t="str">
        <f>IF(B145="","",SUMIFS('Input_APM (Zenith)'!N:N,'Input_APM (Zenith)'!L:L,Check!B145,'Input_APM (Zenith)'!M:M,Check!$G$1))</f>
        <v/>
      </c>
      <c r="M145" s="212" t="str">
        <f t="shared" si="41"/>
        <v/>
      </c>
      <c r="O145"/>
      <c r="P145" s="321" t="str">
        <f>IF(O145="","",IF(OR(LEFT(O145,4)="Cash",LEFT(O145,4)="Prov"),0,SUMIFS(Input_APM!N:N,Input_APM!L:L,Check!O145)))</f>
        <v/>
      </c>
      <c r="Q145" s="162" t="str">
        <f>IF(O145="","",IF(LEN(O145)&gt;9,SUMIFS(Options!$H$3:$H$32,Options!$B$3:$B$32,Check!O145),SUMIFS('Master P&amp;L'!$H$11:$H$106,'Master P&amp;L'!$B$11:$B$106,Check!O145)))</f>
        <v/>
      </c>
      <c r="R145" s="321" t="str">
        <f t="shared" si="43"/>
        <v/>
      </c>
      <c r="S145" s="355" t="str">
        <f t="shared" si="37"/>
        <v/>
      </c>
      <c r="T145" s="58" t="s">
        <v>1770</v>
      </c>
    </row>
    <row r="146" spans="3:20">
      <c r="C146" s="228" t="str">
        <f>IF(B146="","",IF(LEN(B146)&gt;9,SUMIFS(Options!$H$3:$H$32,Options!$B$3:$B$32,Check!B146),SUMIFS('Master P&amp;L'!$H$11:$H$106,'Master P&amp;L'!$B$11:$B$106,Check!B146)))</f>
        <v/>
      </c>
      <c r="D146" s="228" t="str">
        <f>IF(B146="","",SUMIFS(Input_APM!N:N,Input_APM!L:L,Check!B146,Input_APM!M:M,Check!$F$1))</f>
        <v/>
      </c>
      <c r="E146" s="212" t="str">
        <f t="shared" si="38"/>
        <v/>
      </c>
      <c r="F146" s="228" t="str">
        <f>IF(B146="","",SUMIFS(Input_APM!N:N,Input_APM!M:M,Check!$F$1,Input_APM!L:L,Check!B146))</f>
        <v/>
      </c>
      <c r="G146" s="228" t="str">
        <f>IF(B146="","",SUMIFS(Input_APM!N:N,Input_APM!M:M,Check!$G$1,Input_APM!L:L,Check!B146))</f>
        <v/>
      </c>
      <c r="H146" s="212" t="str">
        <f t="shared" si="39"/>
        <v/>
      </c>
      <c r="I146" s="212">
        <f>SUMIFS(Input_APM!N:N,Input_APM!L:L,Check!B146)</f>
        <v>0</v>
      </c>
      <c r="J146" s="214" t="str">
        <f t="shared" si="40"/>
        <v/>
      </c>
      <c r="K146" s="21" t="str">
        <f>IF(B146="","",SUMIFS('Input_APM (Zenith)'!N:N,'Input_APM (Zenith)'!L:L,Check!B146,'Input_APM (Zenith)'!M:M,Check!$F$1))</f>
        <v/>
      </c>
      <c r="L146" s="21" t="str">
        <f>IF(B146="","",SUMIFS('Input_APM (Zenith)'!N:N,'Input_APM (Zenith)'!L:L,Check!B146,'Input_APM (Zenith)'!M:M,Check!$G$1))</f>
        <v/>
      </c>
      <c r="M146" s="212" t="str">
        <f t="shared" si="41"/>
        <v/>
      </c>
      <c r="O146"/>
      <c r="P146" s="321" t="str">
        <f>IF(O146="","",IF(OR(LEFT(O146,4)="Cash",LEFT(O146,4)="Prov"),0,SUMIFS(Input_APM!N:N,Input_APM!L:L,Check!O146)))</f>
        <v/>
      </c>
      <c r="Q146" s="162" t="str">
        <f>IF(O146="","",IF(LEN(O146)&gt;9,SUMIFS(Options!$H$3:$H$32,Options!$B$3:$B$32,Check!O146),SUMIFS('Master P&amp;L'!$H$11:$H$106,'Master P&amp;L'!$B$11:$B$106,Check!O146)))</f>
        <v/>
      </c>
      <c r="R146" s="321" t="str">
        <f t="shared" si="43"/>
        <v/>
      </c>
      <c r="S146" s="355" t="str">
        <f t="shared" si="37"/>
        <v/>
      </c>
      <c r="T146" s="58" t="s">
        <v>1770</v>
      </c>
    </row>
    <row r="147" spans="3:20">
      <c r="C147" s="228" t="str">
        <f>IF(B147="","",IF(LEN(B147)&gt;9,SUMIFS(Options!$H$3:$H$32,Options!$B$3:$B$32,Check!B147),SUMIFS('Master P&amp;L'!$H$11:$H$106,'Master P&amp;L'!$B$11:$B$106,Check!B147)))</f>
        <v/>
      </c>
      <c r="D147" s="228" t="str">
        <f>IF(B147="","",SUMIFS(Input_APM!N:N,Input_APM!L:L,Check!B147,Input_APM!M:M,Check!$F$1))</f>
        <v/>
      </c>
      <c r="E147" s="212" t="str">
        <f t="shared" si="38"/>
        <v/>
      </c>
      <c r="F147" s="228" t="str">
        <f>IF(B147="","",SUMIFS(Input_APM!N:N,Input_APM!M:M,Check!$F$1,Input_APM!L:L,Check!B147))</f>
        <v/>
      </c>
      <c r="G147" s="228" t="str">
        <f>IF(B147="","",SUMIFS(Input_APM!N:N,Input_APM!M:M,Check!$G$1,Input_APM!L:L,Check!B147))</f>
        <v/>
      </c>
      <c r="H147" s="212" t="str">
        <f t="shared" si="39"/>
        <v/>
      </c>
      <c r="I147" s="212">
        <f>SUMIFS(Input_APM!N:N,Input_APM!L:L,Check!B147)</f>
        <v>0</v>
      </c>
      <c r="J147" s="214" t="str">
        <f t="shared" si="40"/>
        <v/>
      </c>
      <c r="K147" s="21" t="str">
        <f>IF(B147="","",SUMIFS('Input_APM (Zenith)'!N:N,'Input_APM (Zenith)'!L:L,Check!B147,'Input_APM (Zenith)'!M:M,Check!$F$1))</f>
        <v/>
      </c>
      <c r="L147" s="21" t="str">
        <f>IF(B147="","",SUMIFS('Input_APM (Zenith)'!N:N,'Input_APM (Zenith)'!L:L,Check!B147,'Input_APM (Zenith)'!M:M,Check!$G$1))</f>
        <v/>
      </c>
      <c r="M147" s="212" t="str">
        <f t="shared" si="41"/>
        <v/>
      </c>
      <c r="O147"/>
      <c r="P147" s="212" t="str">
        <f>IF(O147="","",IF(OR(LEFT(O147,4)="Cash",LEFT(O147,4)="Prov"),0,SUMIFS(Input_APM!N:N,Input_APM!L:L,Check!O147)))</f>
        <v/>
      </c>
      <c r="Q147" s="21" t="str">
        <f>IF(O147="","",IF(LEN(O147)&gt;9,SUMIFS(Options!$H$3:$H$32,Options!$B$3:$B$32,Check!O147),SUMIFS('Master P&amp;L'!$H$11:$H$106,'Master P&amp;L'!$B$11:$B$106,Check!O147)))</f>
        <v/>
      </c>
      <c r="R147" s="212" t="str">
        <f t="shared" si="43"/>
        <v/>
      </c>
      <c r="S147" s="355" t="str">
        <f t="shared" si="37"/>
        <v/>
      </c>
    </row>
    <row r="148" spans="3:20">
      <c r="C148" s="228" t="str">
        <f>IF(B148="","",IF(LEN(B148)&gt;9,SUMIFS(Options!$H$3:$H$32,Options!$B$3:$B$32,Check!B148),SUMIFS('Master P&amp;L'!$H$11:$H$106,'Master P&amp;L'!$B$11:$B$106,Check!B148)))</f>
        <v/>
      </c>
      <c r="D148" s="228" t="str">
        <f>IF(B148="","",SUMIFS(Input_APM!N:N,Input_APM!L:L,Check!B148,Input_APM!M:M,Check!$F$1))</f>
        <v/>
      </c>
      <c r="E148" s="212" t="str">
        <f t="shared" si="38"/>
        <v/>
      </c>
      <c r="F148" s="228" t="str">
        <f>IF(B148="","",SUMIFS(Input_APM!N:N,Input_APM!M:M,Check!$F$1,Input_APM!L:L,Check!B148))</f>
        <v/>
      </c>
      <c r="G148" s="228" t="str">
        <f>IF(B148="","",SUMIFS(Input_APM!N:N,Input_APM!M:M,Check!$G$1,Input_APM!L:L,Check!B148))</f>
        <v/>
      </c>
      <c r="H148" s="212" t="str">
        <f t="shared" si="39"/>
        <v/>
      </c>
      <c r="I148" s="212">
        <f>SUMIFS(Input_APM!N:N,Input_APM!L:L,Check!B148)</f>
        <v>0</v>
      </c>
      <c r="J148" s="214" t="str">
        <f t="shared" si="40"/>
        <v/>
      </c>
      <c r="K148" s="21" t="str">
        <f>IF(B148="","",SUMIFS('Input_APM (Zenith)'!N:N,'Input_APM (Zenith)'!L:L,Check!B148,'Input_APM (Zenith)'!M:M,Check!$F$1))</f>
        <v/>
      </c>
      <c r="L148" s="21" t="str">
        <f>IF(B148="","",SUMIFS('Input_APM (Zenith)'!N:N,'Input_APM (Zenith)'!L:L,Check!B148,'Input_APM (Zenith)'!M:M,Check!$G$1))</f>
        <v/>
      </c>
      <c r="M148" s="212" t="str">
        <f t="shared" si="41"/>
        <v/>
      </c>
      <c r="O148"/>
      <c r="P148" s="212" t="str">
        <f>IF(O148="","",IF(OR(LEFT(O148,4)="Cash",LEFT(O148,4)="Prov"),0,SUMIFS(Input_APM!N:N,Input_APM!L:L,Check!O148)))</f>
        <v/>
      </c>
      <c r="Q148" s="21" t="str">
        <f>IF(O148="","",IF(LEN(O148)&gt;9,SUMIFS(Options!$H$3:$H$32,Options!$B$3:$B$32,Check!O148),SUMIFS('Master P&amp;L'!$H$11:$H$106,'Master P&amp;L'!$B$11:$B$106,Check!O148)))</f>
        <v/>
      </c>
      <c r="R148" s="212" t="str">
        <f t="shared" si="43"/>
        <v/>
      </c>
      <c r="S148" s="355" t="str">
        <f t="shared" si="37"/>
        <v/>
      </c>
    </row>
    <row r="149" spans="3:20">
      <c r="C149" s="228" t="str">
        <f>IF(B149="","",IF(LEN(B149)&gt;9,SUMIFS(Options!$H$3:$H$32,Options!$B$3:$B$32,Check!B149),SUMIFS('Master P&amp;L'!$H$11:$H$106,'Master P&amp;L'!$B$11:$B$106,Check!B149)))</f>
        <v/>
      </c>
      <c r="D149" s="228" t="str">
        <f>IF(B149="","",SUMIFS(Input_APM!N:N,Input_APM!L:L,Check!B149,Input_APM!M:M,Check!$F$1))</f>
        <v/>
      </c>
      <c r="E149" s="212" t="str">
        <f t="shared" si="38"/>
        <v/>
      </c>
      <c r="F149" s="228" t="str">
        <f>IF(B149="","",SUMIFS(Input_APM!N:N,Input_APM!M:M,Check!$F$1,Input_APM!L:L,Check!B149))</f>
        <v/>
      </c>
      <c r="G149" s="228" t="str">
        <f>IF(B149="","",SUMIFS(Input_APM!N:N,Input_APM!M:M,Check!$G$1,Input_APM!L:L,Check!B149))</f>
        <v/>
      </c>
      <c r="H149" s="212" t="str">
        <f t="shared" si="39"/>
        <v/>
      </c>
      <c r="I149" s="212">
        <f>SUMIFS(Input_APM!N:N,Input_APM!L:L,Check!B149)</f>
        <v>0</v>
      </c>
      <c r="J149" s="214" t="str">
        <f t="shared" si="40"/>
        <v/>
      </c>
      <c r="K149" s="21" t="str">
        <f>IF(B149="","",SUMIFS('Input_APM (Zenith)'!N:N,'Input_APM (Zenith)'!L:L,Check!B149,'Input_APM (Zenith)'!M:M,Check!$F$1))</f>
        <v/>
      </c>
      <c r="L149" s="21" t="str">
        <f>IF(B149="","",SUMIFS('Input_APM (Zenith)'!N:N,'Input_APM (Zenith)'!L:L,Check!B149,'Input_APM (Zenith)'!M:M,Check!$G$1))</f>
        <v/>
      </c>
      <c r="M149" s="212" t="str">
        <f t="shared" si="41"/>
        <v/>
      </c>
      <c r="O149"/>
      <c r="P149" s="212" t="str">
        <f>IF(O149="","",IF(OR(LEFT(O149,4)="Cash",LEFT(O149,4)="Prov"),0,SUMIFS(Input_APM!N:N,Input_APM!L:L,Check!O149)))</f>
        <v/>
      </c>
      <c r="Q149" s="21" t="str">
        <f>IF(O149="","",IF(LEN(O149)&gt;9,SUMIFS(Options!$H$3:$H$32,Options!$B$3:$B$32,Check!O149),SUMIFS('Master P&amp;L'!$H$11:$H$106,'Master P&amp;L'!$B$11:$B$106,Check!O149)))</f>
        <v/>
      </c>
      <c r="R149" s="212" t="str">
        <f t="shared" si="43"/>
        <v/>
      </c>
      <c r="S149" s="355" t="str">
        <f t="shared" si="37"/>
        <v/>
      </c>
    </row>
    <row r="150" spans="3:20">
      <c r="C150" s="228" t="str">
        <f>IF(B150="","",IF(LEN(B150)&gt;9,SUMIFS(Options!$H$3:$H$32,Options!$B$3:$B$32,Check!B150),SUMIFS('Master P&amp;L'!$H$11:$H$106,'Master P&amp;L'!$B$11:$B$106,Check!B150)))</f>
        <v/>
      </c>
      <c r="D150" s="228" t="str">
        <f>IF(B150="","",SUMIFS(Input_APM!N:N,Input_APM!L:L,Check!B150,Input_APM!M:M,Check!$F$1))</f>
        <v/>
      </c>
      <c r="E150" s="212" t="str">
        <f t="shared" si="38"/>
        <v/>
      </c>
      <c r="F150" s="228" t="str">
        <f>IF(B150="","",SUMIFS(Input_APM!N:N,Input_APM!M:M,Check!$F$1,Input_APM!L:L,Check!B150))</f>
        <v/>
      </c>
      <c r="G150" s="228" t="str">
        <f>IF(B150="","",SUMIFS(Input_APM!N:N,Input_APM!M:M,Check!$G$1,Input_APM!L:L,Check!B150))</f>
        <v/>
      </c>
      <c r="H150" s="212" t="str">
        <f t="shared" si="39"/>
        <v/>
      </c>
      <c r="I150" s="212">
        <f>SUMIFS(Input_APM!N:N,Input_APM!L:L,Check!B150)</f>
        <v>0</v>
      </c>
      <c r="J150" s="214" t="str">
        <f t="shared" si="40"/>
        <v/>
      </c>
      <c r="K150" s="21" t="str">
        <f>IF(B150="","",SUMIFS('Input_APM (Zenith)'!N:N,'Input_APM (Zenith)'!L:L,Check!B150,'Input_APM (Zenith)'!M:M,Check!$F$1))</f>
        <v/>
      </c>
      <c r="L150" s="21" t="str">
        <f>IF(B150="","",SUMIFS('Input_APM (Zenith)'!N:N,'Input_APM (Zenith)'!L:L,Check!B150,'Input_APM (Zenith)'!M:M,Check!$G$1))</f>
        <v/>
      </c>
      <c r="M150" s="212" t="str">
        <f t="shared" si="41"/>
        <v/>
      </c>
      <c r="O150"/>
      <c r="P150" s="212" t="str">
        <f>IF(O150="","",IF(OR(LEFT(O150,4)="Cash",LEFT(O150,4)="Prov"),0,SUMIFS(Input_APM!N:N,Input_APM!L:L,Check!O150)))</f>
        <v/>
      </c>
      <c r="Q150" s="21" t="str">
        <f>IF(O150="","",IF(LEN(O150)&gt;9,SUMIFS(Options!$H$3:$H$32,Options!$B$3:$B$32,Check!O150),SUMIFS('Master P&amp;L'!$H$11:$H$106,'Master P&amp;L'!$B$11:$B$106,Check!O150)))</f>
        <v/>
      </c>
      <c r="R150" s="212" t="str">
        <f t="shared" si="43"/>
        <v/>
      </c>
      <c r="S150" s="355" t="str">
        <f t="shared" si="37"/>
        <v/>
      </c>
    </row>
    <row r="151" spans="3:20">
      <c r="C151" s="228" t="str">
        <f>IF(B151="","",IF(LEN(B151)&gt;9,SUMIFS(Options!$H$3:$H$32,Options!$B$3:$B$32,Check!B151),SUMIFS('Master P&amp;L'!$H$11:$H$106,'Master P&amp;L'!$B$11:$B$106,Check!B151)))</f>
        <v/>
      </c>
      <c r="D151" s="228" t="str">
        <f>IF(B151="","",SUMIFS(Input_APM!N:N,Input_APM!L:L,Check!B151,Input_APM!M:M,Check!$F$1))</f>
        <v/>
      </c>
      <c r="E151" s="212" t="str">
        <f t="shared" ref="E151:E157" si="44">IF(B151="","",C151-M151)</f>
        <v/>
      </c>
      <c r="F151" s="228" t="str">
        <f>IF(B151="","",SUMIFS(Input_APM!N:N,Input_APM!M:M,Check!$F$1,Input_APM!L:L,Check!B151))</f>
        <v/>
      </c>
      <c r="G151" s="228" t="str">
        <f>IF(B151="","",SUMIFS(Input_APM!N:N,Input_APM!M:M,Check!$G$1,Input_APM!L:L,Check!B151))</f>
        <v/>
      </c>
      <c r="H151" s="212" t="str">
        <f t="shared" ref="H151:H158" si="45">IF(B151="","",F151-G151)</f>
        <v/>
      </c>
      <c r="I151" s="212">
        <f>SUMIFS(Input_APM!N:N,Input_APM!L:L,Check!B151)</f>
        <v>0</v>
      </c>
      <c r="J151" s="214" t="str">
        <f t="shared" ref="J151:J158" si="46">IF(B151="","",(F151+G151)-I151)</f>
        <v/>
      </c>
      <c r="K151" s="21" t="str">
        <f>IF(B151="","",SUMIFS('Input_APM (Zenith)'!N:N,'Input_APM (Zenith)'!L:L,Check!B151,'Input_APM (Zenith)'!M:M,Check!$F$1))</f>
        <v/>
      </c>
      <c r="L151" s="21" t="str">
        <f>IF(B151="","",SUMIFS('Input_APM (Zenith)'!N:N,'Input_APM (Zenith)'!L:L,Check!B151,'Input_APM (Zenith)'!M:M,Check!$G$1))</f>
        <v/>
      </c>
      <c r="M151" s="212" t="str">
        <f t="shared" ref="M151:M158" si="47">IF(B151="","",F151+G151+K151+L151)</f>
        <v/>
      </c>
      <c r="O151"/>
      <c r="P151" s="212" t="str">
        <f>IF(O151="","",IF(OR(LEFT(O151,4)="Cash",LEFT(O151,4)="Prov"),0,SUMIFS(Input_APM!N:N,Input_APM!L:L,Check!O151)))</f>
        <v/>
      </c>
      <c r="Q151" s="21" t="str">
        <f>IF(O151="","",IF(LEN(O151)&gt;9,SUMIFS(Options!$H$3:$H$32,Options!$B$3:$B$32,Check!O151),SUMIFS('Master P&amp;L'!$H$11:$H$106,'Master P&amp;L'!$B$11:$B$106,Check!O151)))</f>
        <v/>
      </c>
      <c r="R151" s="212" t="str">
        <f>IF(O151="","",P151-Q151)</f>
        <v/>
      </c>
      <c r="S151" s="355" t="str">
        <f t="shared" si="37"/>
        <v/>
      </c>
    </row>
    <row r="152" spans="3:20">
      <c r="C152" s="228" t="str">
        <f>IF(B152="","",IF(LEN(B152)&gt;9,SUMIFS(Options!$H$3:$H$32,Options!$B$3:$B$32,Check!B152),SUMIFS('Master P&amp;L'!$H$11:$H$106,'Master P&amp;L'!$B$11:$B$106,Check!B152)))</f>
        <v/>
      </c>
      <c r="D152" s="228" t="str">
        <f>IF(B152="","",SUMIFS(Input_APM!N:N,Input_APM!L:L,Check!B152,Input_APM!M:M,Check!$F$1))</f>
        <v/>
      </c>
      <c r="E152" s="212" t="str">
        <f t="shared" si="44"/>
        <v/>
      </c>
      <c r="F152" s="228" t="str">
        <f>IF(B152="","",SUMIFS(Input_APM!N:N,Input_APM!M:M,Check!$F$1,Input_APM!L:L,Check!B152))</f>
        <v/>
      </c>
      <c r="G152" s="228" t="str">
        <f>IF(B152="","",SUMIFS(Input_APM!N:N,Input_APM!M:M,Check!$G$1,Input_APM!L:L,Check!B152))</f>
        <v/>
      </c>
      <c r="H152" s="212" t="str">
        <f t="shared" si="45"/>
        <v/>
      </c>
      <c r="I152" s="212">
        <f>SUMIFS(Input_APM!N:N,Input_APM!L:L,Check!B152)</f>
        <v>0</v>
      </c>
      <c r="J152" s="214" t="str">
        <f t="shared" si="46"/>
        <v/>
      </c>
      <c r="K152" s="21" t="str">
        <f>IF(B152="","",SUMIFS('Input_APM (Zenith)'!N:N,'Input_APM (Zenith)'!L:L,Check!B152,'Input_APM (Zenith)'!M:M,Check!$F$1))</f>
        <v/>
      </c>
      <c r="L152" s="21" t="str">
        <f>IF(B152="","",SUMIFS('Input_APM (Zenith)'!N:N,'Input_APM (Zenith)'!L:L,Check!B152,'Input_APM (Zenith)'!M:M,Check!$G$1))</f>
        <v/>
      </c>
      <c r="M152" s="212" t="str">
        <f t="shared" si="47"/>
        <v/>
      </c>
      <c r="O152"/>
      <c r="P152" s="212" t="str">
        <f>IF(O152="","",IF(OR(LEFT(O152,4)="Cash",LEFT(O152,4)="Prov"),0,SUMIFS(Input_APM!N:N,Input_APM!L:L,Check!O152)))</f>
        <v/>
      </c>
      <c r="Q152" s="21" t="str">
        <f>IF(O152="","",IF(LEN(O152)&gt;9,SUMIFS(Options!$H$3:$H$32,Options!$B$3:$B$32,Check!O152),SUMIFS('Master P&amp;L'!$H$11:$H$106,'Master P&amp;L'!$B$11:$B$106,Check!O152)))</f>
        <v/>
      </c>
      <c r="R152" s="212" t="str">
        <f>IF(O152="","",P152-Q152)</f>
        <v/>
      </c>
      <c r="S152" s="355" t="str">
        <f t="shared" si="37"/>
        <v/>
      </c>
    </row>
    <row r="153" spans="3:20">
      <c r="C153" s="228" t="str">
        <f>IF(B153="","",IF(LEN(B153)&gt;9,SUMIFS(Options!$H$3:$H$32,Options!$B$3:$B$32,Check!B153),SUMIFS('Master P&amp;L'!$H$11:$H$106,'Master P&amp;L'!$B$11:$B$106,Check!B153)))</f>
        <v/>
      </c>
      <c r="D153" s="228" t="str">
        <f>IF(B153="","",SUMIFS(Input_APM!N:N,Input_APM!L:L,Check!B153,Input_APM!M:M,Check!$F$1))</f>
        <v/>
      </c>
      <c r="E153" s="212" t="str">
        <f t="shared" si="44"/>
        <v/>
      </c>
      <c r="F153" s="228" t="str">
        <f>IF(B153="","",SUMIFS(Input_APM!N:N,Input_APM!M:M,Check!$F$1,Input_APM!L:L,Check!B153))</f>
        <v/>
      </c>
      <c r="G153" s="228" t="str">
        <f>IF(B153="","",SUMIFS(Input_APM!N:N,Input_APM!M:M,Check!$G$1,Input_APM!L:L,Check!B153))</f>
        <v/>
      </c>
      <c r="H153" s="212" t="str">
        <f t="shared" si="45"/>
        <v/>
      </c>
      <c r="I153" s="212">
        <f>SUMIFS(Input_APM!N:N,Input_APM!L:L,Check!B153)</f>
        <v>0</v>
      </c>
      <c r="J153" s="214" t="str">
        <f t="shared" si="46"/>
        <v/>
      </c>
      <c r="K153" s="21" t="str">
        <f>IF(B153="","",SUMIFS('Input_APM (Zenith)'!N:N,'Input_APM (Zenith)'!L:L,Check!B153,'Input_APM (Zenith)'!M:M,Check!$F$1))</f>
        <v/>
      </c>
      <c r="L153" s="21" t="str">
        <f>IF(B153="","",SUMIFS('Input_APM (Zenith)'!N:N,'Input_APM (Zenith)'!L:L,Check!B153,'Input_APM (Zenith)'!M:M,Check!$G$1))</f>
        <v/>
      </c>
      <c r="M153" s="212" t="str">
        <f t="shared" si="47"/>
        <v/>
      </c>
      <c r="O153"/>
      <c r="P153" s="212" t="str">
        <f>IF(O153="","",IF(OR(LEFT(O153,4)="Cash",LEFT(O153,4)="Prov"),0,SUMIFS(Input_APM!N:N,Input_APM!L:L,Check!O153)))</f>
        <v/>
      </c>
      <c r="Q153" s="21" t="str">
        <f>IF(O153="","",IF(LEN(O153)&gt;9,SUMIFS(Options!$H$3:$H$32,Options!$B$3:$B$32,Check!O153),SUMIFS('Master P&amp;L'!$H$11:$H$106,'Master P&amp;L'!$B$11:$B$106,Check!O153)))</f>
        <v/>
      </c>
      <c r="R153" s="212" t="str">
        <f>IF(O153="","",P153-Q153)</f>
        <v/>
      </c>
      <c r="S153" s="355" t="str">
        <f t="shared" si="37"/>
        <v/>
      </c>
    </row>
    <row r="154" spans="3:20">
      <c r="C154" s="228" t="str">
        <f>IF(B154="","",IF(LEN(B154)&gt;9,SUMIFS(Options!$H$3:$H$32,Options!$B$3:$B$32,Check!B154),SUMIFS('Master P&amp;L'!$H$11:$H$106,'Master P&amp;L'!$B$11:$B$106,Check!B154)))</f>
        <v/>
      </c>
      <c r="D154" s="228" t="str">
        <f>IF(B154="","",SUMIFS(Input_APM!N:N,Input_APM!L:L,Check!B154,Input_APM!M:M,Check!$F$1))</f>
        <v/>
      </c>
      <c r="E154" s="212" t="str">
        <f t="shared" si="44"/>
        <v/>
      </c>
      <c r="F154" s="228" t="str">
        <f>IF(B154="","",SUMIFS(Input_APM!N:N,Input_APM!M:M,Check!$F$1,Input_APM!L:L,Check!B154))</f>
        <v/>
      </c>
      <c r="G154" s="228" t="str">
        <f>IF(B154="","",SUMIFS(Input_APM!N:N,Input_APM!M:M,Check!$G$1,Input_APM!L:L,Check!B154))</f>
        <v/>
      </c>
      <c r="H154" s="212" t="str">
        <f t="shared" si="45"/>
        <v/>
      </c>
      <c r="I154" s="212">
        <f>SUMIFS(Input_APM!N:N,Input_APM!L:L,Check!B154)</f>
        <v>0</v>
      </c>
      <c r="J154" s="214" t="str">
        <f t="shared" si="46"/>
        <v/>
      </c>
      <c r="K154" s="21" t="str">
        <f>IF(B154="","",SUMIFS('Input_APM (Zenith)'!N:N,'Input_APM (Zenith)'!L:L,Check!B154,'Input_APM (Zenith)'!M:M,Check!$F$1))</f>
        <v/>
      </c>
      <c r="L154" s="21" t="str">
        <f>IF(B154="","",SUMIFS('Input_APM (Zenith)'!N:N,'Input_APM (Zenith)'!L:L,Check!B154,'Input_APM (Zenith)'!M:M,Check!$G$1))</f>
        <v/>
      </c>
      <c r="M154" s="212" t="str">
        <f t="shared" si="47"/>
        <v/>
      </c>
      <c r="O154"/>
      <c r="P154" s="212" t="str">
        <f>IF(O154="","",IF(OR(LEFT(O154,4)="Cash",LEFT(O154,4)="Prov"),0,SUMIFS(Input_APM!N:N,Input_APM!L:L,Check!O154)))</f>
        <v/>
      </c>
      <c r="Q154" s="21" t="str">
        <f>IF(O154="","",IF(LEN(O154)&gt;9,SUMIFS(Options!$H$3:$H$32,Options!$B$3:$B$32,Check!O154),SUMIFS('Master P&amp;L'!$H$11:$H$106,'Master P&amp;L'!$B$11:$B$106,Check!O154)))</f>
        <v/>
      </c>
      <c r="R154" s="212" t="str">
        <f>IF(O154="","",P154-Q154)</f>
        <v/>
      </c>
      <c r="S154" s="355" t="str">
        <f t="shared" si="37"/>
        <v/>
      </c>
    </row>
    <row r="155" spans="3:20">
      <c r="C155" s="228" t="str">
        <f>IF(B155="","",IF(LEN(B155)&gt;9,SUMIFS(Options!$H$3:$H$32,Options!$B$3:$B$32,Check!B155),SUMIFS('Master P&amp;L'!$H$11:$H$106,'Master P&amp;L'!$B$11:$B$106,Check!B155)))</f>
        <v/>
      </c>
      <c r="D155" s="228" t="str">
        <f>IF(B155="","",SUMIFS(Input_APM!N:N,Input_APM!L:L,Check!B155,Input_APM!M:M,Check!$F$1))</f>
        <v/>
      </c>
      <c r="E155" s="212" t="str">
        <f t="shared" si="44"/>
        <v/>
      </c>
      <c r="F155" s="228" t="str">
        <f>IF(B155="","",SUMIFS(Input_APM!N:N,Input_APM!M:M,Check!$F$1,Input_APM!L:L,Check!B155))</f>
        <v/>
      </c>
      <c r="G155" s="228" t="str">
        <f>IF(B155="","",SUMIFS(Input_APM!N:N,Input_APM!M:M,Check!$G$1,Input_APM!L:L,Check!B155))</f>
        <v/>
      </c>
      <c r="H155" s="212" t="str">
        <f t="shared" si="45"/>
        <v/>
      </c>
      <c r="I155" s="212">
        <f>SUMIFS(Input_APM!N:N,Input_APM!L:L,Check!B155)</f>
        <v>0</v>
      </c>
      <c r="J155" s="214" t="str">
        <f t="shared" si="46"/>
        <v/>
      </c>
      <c r="K155" s="21" t="str">
        <f>IF(B155="","",SUMIFS('Input_APM (Zenith)'!N:N,'Input_APM (Zenith)'!L:L,Check!B155,'Input_APM (Zenith)'!M:M,Check!$F$1))</f>
        <v/>
      </c>
      <c r="L155" s="21" t="str">
        <f>IF(B155="","",SUMIFS('Input_APM (Zenith)'!N:N,'Input_APM (Zenith)'!L:L,Check!B155,'Input_APM (Zenith)'!M:M,Check!$G$1))</f>
        <v/>
      </c>
      <c r="M155" s="212" t="str">
        <f t="shared" si="47"/>
        <v/>
      </c>
      <c r="O155"/>
      <c r="P155" s="212" t="str">
        <f>IF(O155="","",IF(OR(LEFT(O155,4)="Cash",LEFT(O155,4)="Prov"),0,SUMIFS(Input_APM!N:N,Input_APM!L:L,Check!O155)))</f>
        <v/>
      </c>
      <c r="Q155" s="21" t="str">
        <f>IF(O155="","",IF(LEN(O155)&gt;9,SUMIFS(Options!$H$3:$H$32,Options!$B$3:$B$32,Check!O155),SUMIFS('Master P&amp;L'!$H$11:$H$106,'Master P&amp;L'!$B$11:$B$106,Check!O155)))</f>
        <v/>
      </c>
      <c r="R155" s="212" t="str">
        <f t="shared" ref="R155:R166" si="48">IF(O155="","",P155-Q155)</f>
        <v/>
      </c>
      <c r="S155" s="355" t="str">
        <f t="shared" si="37"/>
        <v/>
      </c>
    </row>
    <row r="156" spans="3:20">
      <c r="C156" s="228" t="str">
        <f>IF(B156="","",IF(LEN(B156)&gt;9,SUMIFS(Options!$H$3:$H$32,Options!$B$3:$B$32,Check!B156),SUMIFS('Master P&amp;L'!$H$11:$H$106,'Master P&amp;L'!$B$11:$B$106,Check!B156)))</f>
        <v/>
      </c>
      <c r="D156" s="228" t="str">
        <f>IF(B156="","",SUMIFS(Input_APM!N:N,Input_APM!L:L,Check!B156,Input_APM!M:M,Check!$F$1))</f>
        <v/>
      </c>
      <c r="E156" s="212" t="str">
        <f t="shared" si="44"/>
        <v/>
      </c>
      <c r="F156" s="228" t="str">
        <f>IF(B156="","",SUMIFS(Input_APM!N:N,Input_APM!M:M,Check!$F$1,Input_APM!L:L,Check!B156))</f>
        <v/>
      </c>
      <c r="G156" s="228" t="str">
        <f>IF(B156="","",SUMIFS(Input_APM!N:N,Input_APM!M:M,Check!$G$1,Input_APM!L:L,Check!B156))</f>
        <v/>
      </c>
      <c r="H156" s="212" t="str">
        <f t="shared" si="45"/>
        <v/>
      </c>
      <c r="I156" s="212">
        <f>SUMIFS(Input_APM!N:N,Input_APM!L:L,Check!B156)</f>
        <v>0</v>
      </c>
      <c r="J156" s="214" t="str">
        <f t="shared" si="46"/>
        <v/>
      </c>
      <c r="K156" s="21" t="str">
        <f>IF(B156="","",SUMIFS('Input_APM (Zenith)'!N:N,'Input_APM (Zenith)'!L:L,Check!B156,'Input_APM (Zenith)'!M:M,Check!$F$1))</f>
        <v/>
      </c>
      <c r="L156" s="21" t="str">
        <f>IF(B156="","",SUMIFS('Input_APM (Zenith)'!N:N,'Input_APM (Zenith)'!L:L,Check!B156,'Input_APM (Zenith)'!M:M,Check!$G$1))</f>
        <v/>
      </c>
      <c r="M156" s="212" t="str">
        <f t="shared" si="47"/>
        <v/>
      </c>
      <c r="O156"/>
      <c r="P156" s="212" t="str">
        <f>IF(O156="","",IF(OR(LEFT(O156,4)="Cash",LEFT(O156,4)="Prov"),0,SUMIFS(Input_APM!N:N,Input_APM!L:L,Check!O156)))</f>
        <v/>
      </c>
      <c r="Q156" s="21" t="str">
        <f>IF(O156="","",IF(LEN(O156)&gt;9,SUMIFS(Options!$H$3:$H$32,Options!$B$3:$B$32,Check!O156),SUMIFS('Master P&amp;L'!$H$11:$H$106,'Master P&amp;L'!$B$11:$B$106,Check!O156)))</f>
        <v/>
      </c>
      <c r="R156" s="212" t="str">
        <f t="shared" si="48"/>
        <v/>
      </c>
      <c r="S156" s="355" t="str">
        <f t="shared" si="37"/>
        <v/>
      </c>
    </row>
    <row r="157" spans="3:20">
      <c r="C157" s="228" t="str">
        <f>IF(B157="","",IF(LEN(B157)&gt;9,SUMIFS(Options!$H$3:$H$32,Options!$B$3:$B$32,Check!B157),SUMIFS('Master P&amp;L'!$H$11:$H$106,'Master P&amp;L'!$B$11:$B$106,Check!B157)))</f>
        <v/>
      </c>
      <c r="D157" s="228" t="str">
        <f>IF(B157="","",SUMIFS(Input_APM!N:N,Input_APM!L:L,Check!B157,Input_APM!M:M,Check!$F$1))</f>
        <v/>
      </c>
      <c r="E157" s="212" t="str">
        <f t="shared" si="44"/>
        <v/>
      </c>
      <c r="F157" s="228" t="str">
        <f>IF(B157="","",SUMIFS(Input_APM!N:N,Input_APM!M:M,Check!$F$1,Input_APM!L:L,Check!B157))</f>
        <v/>
      </c>
      <c r="G157" s="228" t="str">
        <f>IF(B157="","",SUMIFS(Input_APM!N:N,Input_APM!M:M,Check!$G$1,Input_APM!L:L,Check!B157))</f>
        <v/>
      </c>
      <c r="H157" s="212" t="str">
        <f t="shared" si="45"/>
        <v/>
      </c>
      <c r="I157" s="212">
        <f>SUMIFS(Input_APM!N:N,Input_APM!L:L,Check!B157)</f>
        <v>0</v>
      </c>
      <c r="J157" s="214" t="str">
        <f t="shared" si="46"/>
        <v/>
      </c>
      <c r="K157" s="21" t="str">
        <f>IF(B157="","",SUMIFS('Input_APM (Zenith)'!N:N,'Input_APM (Zenith)'!L:L,Check!B157,'Input_APM (Zenith)'!M:M,Check!$F$1))</f>
        <v/>
      </c>
      <c r="L157" s="21" t="str">
        <f>IF(B157="","",SUMIFS('Input_APM (Zenith)'!N:N,'Input_APM (Zenith)'!L:L,Check!B157,'Input_APM (Zenith)'!M:M,Check!$G$1))</f>
        <v/>
      </c>
      <c r="M157" s="212" t="str">
        <f t="shared" si="47"/>
        <v/>
      </c>
      <c r="O157"/>
      <c r="P157" s="212" t="str">
        <f>IF(O157="","",IF(OR(LEFT(O157,4)="Cash",LEFT(O157,4)="Prov"),0,SUMIFS(Input_APM!N:N,Input_APM!L:L,Check!O157)))</f>
        <v/>
      </c>
      <c r="Q157" s="21" t="str">
        <f>IF(O157="","",IF(LEN(O157)&gt;9,SUMIFS(Options!$H$3:$H$32,Options!$B$3:$B$32,Check!O157),SUMIFS('Master P&amp;L'!$H$11:$H$106,'Master P&amp;L'!$B$11:$B$106,Check!O157)))</f>
        <v/>
      </c>
      <c r="R157" s="212" t="str">
        <f t="shared" si="48"/>
        <v/>
      </c>
      <c r="S157" s="355" t="str">
        <f t="shared" si="37"/>
        <v/>
      </c>
    </row>
    <row r="158" spans="3:20">
      <c r="C158" s="228" t="str">
        <f>IF(B158="","",IF(LEN(B158)&gt;9,SUMIFS(Options!$H$3:$H$32,Options!$B$3:$B$32,Check!B158),SUMIFS('Master P&amp;L'!$H$11:$H$106,'Master P&amp;L'!$B$11:$B$106,Check!B158)))</f>
        <v/>
      </c>
      <c r="D158" s="228" t="str">
        <f>IF(B158="","",SUMIFS(Input_APM!N:N,Input_APM!L:L,Check!B158,Input_APM!M:M,Check!$F$1))</f>
        <v/>
      </c>
      <c r="E158" s="212" t="str">
        <f>IF(B158="","",C158-M158)</f>
        <v/>
      </c>
      <c r="F158" s="228" t="str">
        <f>IF(B158="","",SUMIFS(Input_APM!N:N,Input_APM!M:M,Check!$F$1,Input_APM!L:L,Check!B158))</f>
        <v/>
      </c>
      <c r="G158" s="228" t="str">
        <f>IF(B158="","",SUMIFS(Input_APM!N:N,Input_APM!M:M,Check!$G$1,Input_APM!L:L,Check!B158))</f>
        <v/>
      </c>
      <c r="H158" s="212" t="str">
        <f t="shared" si="45"/>
        <v/>
      </c>
      <c r="I158" s="212">
        <f>SUMIFS(Input_APM!N:N,Input_APM!L:L,Check!B158)</f>
        <v>0</v>
      </c>
      <c r="J158" s="214" t="str">
        <f t="shared" si="46"/>
        <v/>
      </c>
      <c r="K158" s="21" t="str">
        <f>IF(B158="","",SUMIFS('Input_APM (Zenith)'!N:N,'Input_APM (Zenith)'!L:L,Check!B158,'Input_APM (Zenith)'!M:M,Check!$F$1))</f>
        <v/>
      </c>
      <c r="L158" s="21" t="str">
        <f>IF(B158="","",SUMIFS('Input_APM (Zenith)'!N:N,'Input_APM (Zenith)'!L:L,Check!B158,'Input_APM (Zenith)'!M:M,Check!$G$1))</f>
        <v/>
      </c>
      <c r="M158" s="212" t="str">
        <f t="shared" si="47"/>
        <v/>
      </c>
      <c r="O158"/>
      <c r="P158" s="212" t="str">
        <f>IF(O158="","",IF(OR(LEFT(O158,4)="Cash",LEFT(O158,4)="Prov"),0,SUMIFS(Input_APM!N:N,Input_APM!L:L,Check!O158)))</f>
        <v/>
      </c>
      <c r="Q158" s="21" t="str">
        <f>IF(O158="","",IF(LEN(O158)&gt;9,SUMIFS(Options!$H$3:$H$32,Options!$B$3:$B$32,Check!O158),SUMIFS('Master P&amp;L'!$H$11:$H$106,'Master P&amp;L'!$B$11:$B$106,Check!O158)))</f>
        <v/>
      </c>
      <c r="R158" s="212" t="str">
        <f t="shared" si="48"/>
        <v/>
      </c>
      <c r="S158" s="355" t="str">
        <f t="shared" si="37"/>
        <v/>
      </c>
    </row>
    <row r="159" spans="3:20">
      <c r="C159" s="228" t="str">
        <f>IF(B159="","",IF(LEN(B159)&gt;9,SUMIFS(Options!$H$3:$H$32,Options!$B$3:$B$32,Check!B159),SUMIFS('Master P&amp;L'!$H$11:$H$106,'Master P&amp;L'!$B$11:$B$106,Check!B159)))</f>
        <v/>
      </c>
      <c r="D159" s="228" t="str">
        <f>IF(B159="","",SUMIFS(Input_APM!N:N,Input_APM!L:L,Check!B159,Input_APM!M:M,Check!$F$1))</f>
        <v/>
      </c>
      <c r="E159" s="212" t="str">
        <f t="shared" ref="E159:E165" si="49">IF(B159="","",C159-M159)</f>
        <v/>
      </c>
      <c r="F159" s="228" t="str">
        <f>IF(B159="","",SUMIFS(Input_APM!N:N,Input_APM!M:M,Check!$F$1,Input_APM!L:L,Check!B159))</f>
        <v/>
      </c>
      <c r="G159" s="228" t="str">
        <f>IF(B159="","",SUMIFS(Input_APM!N:N,Input_APM!M:M,Check!$G$1,Input_APM!L:L,Check!B159))</f>
        <v/>
      </c>
      <c r="H159" s="212" t="str">
        <f t="shared" ref="H159:H165" si="50">IF(B159="","",F159-G159)</f>
        <v/>
      </c>
      <c r="I159" s="212">
        <f>SUMIFS(Input_APM!N:N,Input_APM!L:L,Check!B159)</f>
        <v>0</v>
      </c>
      <c r="J159" s="214" t="str">
        <f t="shared" ref="J159:J165" si="51">IF(B159="","",(F159+G159)-I159)</f>
        <v/>
      </c>
      <c r="K159" s="21" t="str">
        <f>IF(B159="","",SUMIFS('Input_APM (Zenith)'!N:N,'Input_APM (Zenith)'!L:L,Check!B159,'Input_APM (Zenith)'!M:M,Check!$F$1))</f>
        <v/>
      </c>
      <c r="L159" s="21" t="str">
        <f>IF(B159="","",SUMIFS('Input_APM (Zenith)'!N:N,'Input_APM (Zenith)'!L:L,Check!B159,'Input_APM (Zenith)'!M:M,Check!$G$1))</f>
        <v/>
      </c>
      <c r="M159" s="212" t="str">
        <f t="shared" ref="M159:M165" si="52">IF(B159="","",F159+G159+K159+L159)</f>
        <v/>
      </c>
      <c r="O159"/>
      <c r="P159" s="212" t="str">
        <f>IF(O159="","",IF(OR(LEFT(O159,4)="Cash",LEFT(O159,4)="Prov"),0,SUMIFS(Input_APM!N:N,Input_APM!L:L,Check!O159)))</f>
        <v/>
      </c>
      <c r="Q159" s="21" t="str">
        <f>IF(O159="","",IF(LEN(O159)&gt;9,SUMIFS(Options!$H$3:$H$32,Options!$B$3:$B$32,Check!O159),SUMIFS('Master P&amp;L'!$H$11:$H$106,'Master P&amp;L'!$B$11:$B$106,Check!O159)))</f>
        <v/>
      </c>
      <c r="R159" s="212" t="str">
        <f t="shared" si="48"/>
        <v/>
      </c>
      <c r="S159" s="355" t="str">
        <f t="shared" si="37"/>
        <v/>
      </c>
    </row>
    <row r="160" spans="3:20">
      <c r="C160" s="228" t="str">
        <f>IF(B160="","",IF(LEN(B160)&gt;9,SUMIFS(Options!$H$3:$H$32,Options!$B$3:$B$32,Check!B160),SUMIFS('Master P&amp;L'!$H$11:$H$106,'Master P&amp;L'!$B$11:$B$106,Check!B160)))</f>
        <v/>
      </c>
      <c r="D160" s="228" t="str">
        <f>IF(B160="","",SUMIFS(Input_APM!N:N,Input_APM!L:L,Check!B160,Input_APM!M:M,Check!$F$1))</f>
        <v/>
      </c>
      <c r="E160" s="212" t="str">
        <f t="shared" si="49"/>
        <v/>
      </c>
      <c r="F160" s="228" t="str">
        <f>IF(B160="","",SUMIFS(Input_APM!N:N,Input_APM!M:M,Check!$F$1,Input_APM!L:L,Check!B160))</f>
        <v/>
      </c>
      <c r="G160" s="228" t="str">
        <f>IF(B160="","",SUMIFS(Input_APM!N:N,Input_APM!M:M,Check!$G$1,Input_APM!L:L,Check!B160))</f>
        <v/>
      </c>
      <c r="H160" s="212" t="str">
        <f t="shared" si="50"/>
        <v/>
      </c>
      <c r="I160" s="212">
        <f>SUMIFS(Input_APM!N:N,Input_APM!L:L,Check!B160)</f>
        <v>0</v>
      </c>
      <c r="J160" s="214" t="str">
        <f t="shared" si="51"/>
        <v/>
      </c>
      <c r="K160" s="21" t="str">
        <f>IF(B160="","",SUMIFS('Input_APM (Zenith)'!N:N,'Input_APM (Zenith)'!L:L,Check!B160,'Input_APM (Zenith)'!M:M,Check!$F$1))</f>
        <v/>
      </c>
      <c r="L160" s="21" t="str">
        <f>IF(B160="","",SUMIFS('Input_APM (Zenith)'!N:N,'Input_APM (Zenith)'!L:L,Check!B160,'Input_APM (Zenith)'!M:M,Check!$G$1))</f>
        <v/>
      </c>
      <c r="M160" s="212" t="str">
        <f t="shared" si="52"/>
        <v/>
      </c>
      <c r="O160"/>
      <c r="P160" s="212" t="str">
        <f>IF(O160="","",IF(OR(LEFT(O160,4)="Cash",LEFT(O160,4)="Prov"),0,SUMIFS(Input_APM!N:N,Input_APM!L:L,Check!O160)))</f>
        <v/>
      </c>
      <c r="Q160" s="21" t="str">
        <f>IF(O160="","",IF(LEN(O160)&gt;9,SUMIFS(Options!$H$3:$H$32,Options!$B$3:$B$32,Check!O160),SUMIFS('Master P&amp;L'!$H$11:$H$106,'Master P&amp;L'!$B$11:$B$106,Check!O160)))</f>
        <v/>
      </c>
      <c r="R160" s="212" t="str">
        <f t="shared" si="48"/>
        <v/>
      </c>
      <c r="S160" s="355" t="str">
        <f t="shared" si="37"/>
        <v/>
      </c>
    </row>
    <row r="161" spans="3:19">
      <c r="C161" s="228" t="str">
        <f>IF(B161="","",IF(LEN(B161)&gt;9,SUMIFS(Options!$H$3:$H$32,Options!$B$3:$B$32,Check!B161),SUMIFS('Master P&amp;L'!$H$11:$H$106,'Master P&amp;L'!$B$11:$B$106,Check!B161)))</f>
        <v/>
      </c>
      <c r="D161" s="228" t="str">
        <f>IF(B161="","",SUMIFS(Input_APM!N:N,Input_APM!L:L,Check!B161,Input_APM!M:M,Check!$F$1))</f>
        <v/>
      </c>
      <c r="E161" s="212" t="str">
        <f t="shared" si="49"/>
        <v/>
      </c>
      <c r="F161" s="228" t="str">
        <f>IF(B161="","",SUMIFS(Input_APM!N:N,Input_APM!M:M,Check!$F$1,Input_APM!L:L,Check!B161))</f>
        <v/>
      </c>
      <c r="G161" s="228" t="str">
        <f>IF(B161="","",SUMIFS(Input_APM!N:N,Input_APM!M:M,Check!$G$1,Input_APM!L:L,Check!B161))</f>
        <v/>
      </c>
      <c r="H161" s="212" t="str">
        <f t="shared" si="50"/>
        <v/>
      </c>
      <c r="I161" s="212">
        <f>SUMIFS(Input_APM!N:N,Input_APM!L:L,Check!B161)</f>
        <v>0</v>
      </c>
      <c r="J161" s="214" t="str">
        <f t="shared" si="51"/>
        <v/>
      </c>
      <c r="K161" s="21" t="str">
        <f>IF(B161="","",SUMIFS('Input_APM (Zenith)'!N:N,'Input_APM (Zenith)'!L:L,Check!B161,'Input_APM (Zenith)'!M:M,Check!$F$1))</f>
        <v/>
      </c>
      <c r="L161" s="21" t="str">
        <f>IF(B161="","",SUMIFS('Input_APM (Zenith)'!N:N,'Input_APM (Zenith)'!L:L,Check!B161,'Input_APM (Zenith)'!M:M,Check!$G$1))</f>
        <v/>
      </c>
      <c r="M161" s="212" t="str">
        <f t="shared" si="52"/>
        <v/>
      </c>
      <c r="O161"/>
      <c r="P161" s="212" t="str">
        <f>IF(O161="","",IF(OR(LEFT(O161,4)="Cash",LEFT(O161,4)="Prov"),0,SUMIFS(Input_APM!N:N,Input_APM!L:L,Check!O161)))</f>
        <v/>
      </c>
      <c r="Q161" s="21" t="str">
        <f>IF(O161="","",IF(LEN(O161)&gt;9,SUMIFS(Options!$H$3:$H$32,Options!$B$3:$B$32,Check!O161),SUMIFS('Master P&amp;L'!$H$11:$H$106,'Master P&amp;L'!$B$11:$B$106,Check!O161)))</f>
        <v/>
      </c>
      <c r="R161" s="212" t="str">
        <f t="shared" si="48"/>
        <v/>
      </c>
      <c r="S161" s="355" t="str">
        <f t="shared" si="37"/>
        <v/>
      </c>
    </row>
    <row r="162" spans="3:19">
      <c r="C162" s="228" t="str">
        <f>IF(B162="","",IF(LEN(B162)&gt;9,SUMIFS(Options!$H$3:$H$32,Options!$B$3:$B$32,Check!B162),SUMIFS('Master P&amp;L'!$H$11:$H$106,'Master P&amp;L'!$B$11:$B$106,Check!B162)))</f>
        <v/>
      </c>
      <c r="D162" s="228" t="str">
        <f>IF(B162="","",SUMIFS(Input_APM!N:N,Input_APM!L:L,Check!B162,Input_APM!M:M,Check!$F$1))</f>
        <v/>
      </c>
      <c r="E162" s="212" t="str">
        <f t="shared" si="49"/>
        <v/>
      </c>
      <c r="F162" s="228" t="str">
        <f>IF(B162="","",SUMIFS(Input_APM!N:N,Input_APM!M:M,Check!$F$1,Input_APM!L:L,Check!B162))</f>
        <v/>
      </c>
      <c r="G162" s="228" t="str">
        <f>IF(B162="","",SUMIFS(Input_APM!N:N,Input_APM!M:M,Check!$G$1,Input_APM!L:L,Check!B162))</f>
        <v/>
      </c>
      <c r="H162" s="212" t="str">
        <f t="shared" si="50"/>
        <v/>
      </c>
      <c r="I162" s="212">
        <f>SUMIFS(Input_APM!N:N,Input_APM!L:L,Check!B162)</f>
        <v>0</v>
      </c>
      <c r="J162" s="214" t="str">
        <f t="shared" si="51"/>
        <v/>
      </c>
      <c r="K162" s="21" t="str">
        <f>IF(B162="","",SUMIFS('Input_APM (Zenith)'!N:N,'Input_APM (Zenith)'!L:L,Check!B162,'Input_APM (Zenith)'!M:M,Check!$F$1))</f>
        <v/>
      </c>
      <c r="L162" s="21" t="str">
        <f>IF(B162="","",SUMIFS('Input_APM (Zenith)'!N:N,'Input_APM (Zenith)'!L:L,Check!B162,'Input_APM (Zenith)'!M:M,Check!$G$1))</f>
        <v/>
      </c>
      <c r="M162" s="212" t="str">
        <f t="shared" si="52"/>
        <v/>
      </c>
      <c r="O162"/>
      <c r="P162" s="212" t="str">
        <f>IF(O162="","",IF(OR(LEFT(O162,4)="Cash",LEFT(O162,4)="Prov"),0,SUMIFS(Input_APM!N:N,Input_APM!L:L,Check!O162)))</f>
        <v/>
      </c>
      <c r="Q162" s="21" t="str">
        <f>IF(O162="","",IF(LEN(O162)&gt;9,SUMIFS(Options!$H$3:$H$32,Options!$B$3:$B$32,Check!O162),SUMIFS('Master P&amp;L'!$H$11:$H$106,'Master P&amp;L'!$B$11:$B$106,Check!O162)))</f>
        <v/>
      </c>
      <c r="R162" s="212" t="str">
        <f t="shared" si="48"/>
        <v/>
      </c>
      <c r="S162" s="355" t="str">
        <f t="shared" si="37"/>
        <v/>
      </c>
    </row>
    <row r="163" spans="3:19">
      <c r="C163" s="228" t="str">
        <f>IF(B163="","",IF(LEN(B163)&gt;9,SUMIFS(Options!$H$3:$H$32,Options!$B$3:$B$32,Check!B163),SUMIFS('Master P&amp;L'!$H$11:$H$106,'Master P&amp;L'!$B$11:$B$106,Check!B163)))</f>
        <v/>
      </c>
      <c r="D163" s="228" t="str">
        <f>IF(B163="","",SUMIFS(Input_APM!N:N,Input_APM!L:L,Check!B163,Input_APM!M:M,Check!$F$1))</f>
        <v/>
      </c>
      <c r="E163" s="212" t="str">
        <f t="shared" si="49"/>
        <v/>
      </c>
      <c r="F163" s="228" t="str">
        <f>IF(B163="","",SUMIFS(Input_APM!N:N,Input_APM!M:M,Check!$F$1,Input_APM!L:L,Check!B163))</f>
        <v/>
      </c>
      <c r="G163" s="228" t="str">
        <f>IF(B163="","",SUMIFS(Input_APM!N:N,Input_APM!M:M,Check!$G$1,Input_APM!L:L,Check!B163))</f>
        <v/>
      </c>
      <c r="H163" s="212" t="str">
        <f t="shared" si="50"/>
        <v/>
      </c>
      <c r="I163" s="212">
        <f>SUMIFS(Input_APM!N:N,Input_APM!L:L,Check!B163)</f>
        <v>0</v>
      </c>
      <c r="J163" s="214" t="str">
        <f t="shared" si="51"/>
        <v/>
      </c>
      <c r="K163" s="21" t="str">
        <f>IF(B163="","",SUMIFS('Input_APM (Zenith)'!N:N,'Input_APM (Zenith)'!L:L,Check!B163,'Input_APM (Zenith)'!M:M,Check!$F$1))</f>
        <v/>
      </c>
      <c r="L163" s="21" t="str">
        <f>IF(B163="","",SUMIFS('Input_APM (Zenith)'!N:N,'Input_APM (Zenith)'!L:L,Check!B163,'Input_APM (Zenith)'!M:M,Check!$G$1))</f>
        <v/>
      </c>
      <c r="M163" s="212" t="str">
        <f t="shared" si="52"/>
        <v/>
      </c>
      <c r="O163"/>
      <c r="P163" s="212" t="str">
        <f>IF(O163="","",IF(OR(LEFT(O163,4)="Cash",LEFT(O163,4)="Prov"),0,SUMIFS(Input_APM!N:N,Input_APM!L:L,Check!O163)))</f>
        <v/>
      </c>
      <c r="Q163" s="21" t="str">
        <f>IF(O163="","",IF(LEN(O163)&gt;9,SUMIFS(Options!$H$3:$H$32,Options!$B$3:$B$32,Check!O163),SUMIFS('Master P&amp;L'!$H$11:$H$106,'Master P&amp;L'!$B$11:$B$106,Check!O163)))</f>
        <v/>
      </c>
      <c r="R163" s="212" t="str">
        <f t="shared" si="48"/>
        <v/>
      </c>
      <c r="S163" s="355" t="str">
        <f t="shared" si="37"/>
        <v/>
      </c>
    </row>
    <row r="164" spans="3:19">
      <c r="C164" s="228" t="str">
        <f>IF(B164="","",IF(LEN(B164)&gt;9,SUMIFS(Options!$H$3:$H$32,Options!$B$3:$B$32,Check!B164),SUMIFS('Master P&amp;L'!$H$11:$H$106,'Master P&amp;L'!$B$11:$B$106,Check!B164)))</f>
        <v/>
      </c>
      <c r="D164" s="228" t="str">
        <f>IF(B164="","",SUMIFS(Input_APM!N:N,Input_APM!L:L,Check!B164,Input_APM!M:M,Check!$F$1))</f>
        <v/>
      </c>
      <c r="E164" s="212" t="str">
        <f t="shared" si="49"/>
        <v/>
      </c>
      <c r="F164" s="228" t="str">
        <f>IF(B164="","",SUMIFS(Input_APM!N:N,Input_APM!M:M,Check!$F$1,Input_APM!L:L,Check!B164))</f>
        <v/>
      </c>
      <c r="G164" s="228" t="str">
        <f>IF(B164="","",SUMIFS(Input_APM!N:N,Input_APM!M:M,Check!$G$1,Input_APM!L:L,Check!B164))</f>
        <v/>
      </c>
      <c r="H164" s="212" t="str">
        <f t="shared" si="50"/>
        <v/>
      </c>
      <c r="I164" s="212">
        <f>SUMIFS(Input_APM!N:N,Input_APM!L:L,Check!B164)</f>
        <v>0</v>
      </c>
      <c r="J164" s="214" t="str">
        <f t="shared" si="51"/>
        <v/>
      </c>
      <c r="K164" s="21" t="str">
        <f>IF(B164="","",SUMIFS('Input_APM (Zenith)'!N:N,'Input_APM (Zenith)'!L:L,Check!B164,'Input_APM (Zenith)'!M:M,Check!$F$1))</f>
        <v/>
      </c>
      <c r="L164" s="21" t="str">
        <f>IF(B164="","",SUMIFS('Input_APM (Zenith)'!N:N,'Input_APM (Zenith)'!L:L,Check!B164,'Input_APM (Zenith)'!M:M,Check!$G$1))</f>
        <v/>
      </c>
      <c r="M164" s="212" t="str">
        <f t="shared" si="52"/>
        <v/>
      </c>
      <c r="O164"/>
      <c r="P164" s="212" t="str">
        <f>IF(O164="","",IF(OR(LEFT(O164,4)="Cash",LEFT(O164,4)="Prov"),0,SUMIFS(Input_APM!N:N,Input_APM!L:L,Check!O164)))</f>
        <v/>
      </c>
      <c r="Q164" s="21" t="str">
        <f>IF(O164="","",IF(LEN(O164)&gt;9,SUMIFS(Options!$H$3:$H$32,Options!$B$3:$B$32,Check!O164),SUMIFS('Master P&amp;L'!$H$11:$H$106,'Master P&amp;L'!$B$11:$B$106,Check!O164)))</f>
        <v/>
      </c>
      <c r="R164" s="212" t="str">
        <f t="shared" si="48"/>
        <v/>
      </c>
      <c r="S164" s="355" t="str">
        <f t="shared" si="37"/>
        <v/>
      </c>
    </row>
    <row r="165" spans="3:19">
      <c r="C165" s="228" t="str">
        <f>IF(B165="","",IF(LEN(B165)&gt;9,SUMIFS(Options!$H$3:$H$32,Options!$B$3:$B$32,Check!B165),SUMIFS('Master P&amp;L'!$H$11:$H$106,'Master P&amp;L'!$B$11:$B$106,Check!B165)))</f>
        <v/>
      </c>
      <c r="D165" s="228" t="str">
        <f>IF(B165="","",SUMIFS(Input_APM!N:N,Input_APM!L:L,Check!B165,Input_APM!M:M,Check!$F$1))</f>
        <v/>
      </c>
      <c r="E165" s="212" t="str">
        <f t="shared" si="49"/>
        <v/>
      </c>
      <c r="F165" s="228" t="str">
        <f>IF(B165="","",SUMIFS(Input_APM!N:N,Input_APM!M:M,Check!$F$1,Input_APM!L:L,Check!B165))</f>
        <v/>
      </c>
      <c r="G165" s="228" t="str">
        <f>IF(B165="","",SUMIFS(Input_APM!N:N,Input_APM!M:M,Check!$G$1,Input_APM!L:L,Check!B165))</f>
        <v/>
      </c>
      <c r="H165" s="212" t="str">
        <f t="shared" si="50"/>
        <v/>
      </c>
      <c r="I165" s="212">
        <f>SUMIFS(Input_APM!N:N,Input_APM!L:L,Check!B165)</f>
        <v>0</v>
      </c>
      <c r="J165" s="214" t="str">
        <f t="shared" si="51"/>
        <v/>
      </c>
      <c r="K165" s="21" t="str">
        <f>IF(B165="","",SUMIFS('Input_APM (Zenith)'!N:N,'Input_APM (Zenith)'!L:L,Check!B165,'Input_APM (Zenith)'!M:M,Check!$F$1))</f>
        <v/>
      </c>
      <c r="L165" s="21" t="str">
        <f>IF(B165="","",SUMIFS('Input_APM (Zenith)'!N:N,'Input_APM (Zenith)'!L:L,Check!B165,'Input_APM (Zenith)'!M:M,Check!$G$1))</f>
        <v/>
      </c>
      <c r="M165" s="212" t="str">
        <f t="shared" si="52"/>
        <v/>
      </c>
      <c r="O165"/>
      <c r="P165" s="212" t="str">
        <f>IF(O165="","",IF(OR(LEFT(O165,4)="Cash",LEFT(O165,4)="Prov"),0,SUMIFS(Input_APM!N:N,Input_APM!L:L,Check!O165)))</f>
        <v/>
      </c>
      <c r="Q165" s="21" t="str">
        <f>IF(O165="","",IF(LEN(O165)&gt;9,SUMIFS(Options!$H$3:$H$32,Options!$B$3:$B$32,Check!O165),SUMIFS('Master P&amp;L'!$H$11:$H$106,'Master P&amp;L'!$B$11:$B$106,Check!O165)))</f>
        <v/>
      </c>
      <c r="R165" s="212" t="str">
        <f t="shared" si="48"/>
        <v/>
      </c>
      <c r="S165" s="355" t="str">
        <f t="shared" si="37"/>
        <v/>
      </c>
    </row>
    <row r="166" spans="3:19">
      <c r="C166" s="228" t="str">
        <f>IF(B166="","",IF(LEN(B166)&gt;9,SUMIFS(Options!$H$3:$H$32,Options!$B$3:$B$32,Check!B166),SUMIFS('Master P&amp;L'!$H$11:$H$106,'Master P&amp;L'!$B$11:$B$106,Check!B166)))</f>
        <v/>
      </c>
      <c r="D166" s="228" t="str">
        <f>IF(B166="","",SUMIFS(Input_APM!N:N,Input_APM!L:L,Check!B166,Input_APM!M:M,Check!$F$1))</f>
        <v/>
      </c>
      <c r="E166" s="212" t="str">
        <f>IF(B166="","",C166-M166)</f>
        <v/>
      </c>
      <c r="F166" s="228" t="str">
        <f>IF(B166="","",SUMIFS(Input_APM!N:N,Input_APM!M:M,Check!$F$1,Input_APM!L:L,Check!B166))</f>
        <v/>
      </c>
      <c r="G166" s="228" t="str">
        <f>IF(B166="","",SUMIFS(Input_APM!N:N,Input_APM!M:M,Check!$G$1,Input_APM!L:L,Check!B166))</f>
        <v/>
      </c>
      <c r="H166" s="212" t="str">
        <f>IF(B166="","",F166-G166)</f>
        <v/>
      </c>
      <c r="I166" s="212">
        <f>SUMIFS(Input_APM!N:N,Input_APM!L:L,Check!B166)</f>
        <v>0</v>
      </c>
      <c r="J166" s="214" t="str">
        <f>IF(B166="","",(F166+G166)-I166)</f>
        <v/>
      </c>
      <c r="K166" s="21" t="str">
        <f>IF(B166="","",SUMIFS('Input_APM (Zenith)'!N:N,'Input_APM (Zenith)'!L:L,Check!B166,'Input_APM (Zenith)'!M:M,Check!$F$1))</f>
        <v/>
      </c>
      <c r="L166" s="21" t="str">
        <f>IF(B166="","",SUMIFS('Input_APM (Zenith)'!N:N,'Input_APM (Zenith)'!L:L,Check!B166,'Input_APM (Zenith)'!M:M,Check!$G$1))</f>
        <v/>
      </c>
      <c r="M166" s="212" t="str">
        <f>IF(B166="","",F166+G166+K166+L166)</f>
        <v/>
      </c>
      <c r="O166"/>
      <c r="P166" s="212" t="str">
        <f>IF(O166="","",IF(OR(LEFT(O166,4)="Cash",LEFT(O166,4)="Prov"),0,SUMIFS(Input_APM!N:N,Input_APM!L:L,Check!O166)))</f>
        <v/>
      </c>
      <c r="Q166" s="21" t="str">
        <f>IF(O166="","",IF(LEN(O166)&gt;9,SUMIFS(Options!$H$3:$H$32,Options!$B$3:$B$32,Check!O166),SUMIFS('Master P&amp;L'!$H$11:$H$106,'Master P&amp;L'!$B$11:$B$106,Check!O166)))</f>
        <v/>
      </c>
      <c r="R166" s="212" t="str">
        <f t="shared" si="48"/>
        <v/>
      </c>
      <c r="S166" s="355" t="str">
        <f t="shared" si="37"/>
        <v/>
      </c>
    </row>
    <row r="167" spans="3:19">
      <c r="C167" s="228" t="str">
        <f>IF(B167="","",IF(LEN(B167)&gt;9,SUMIFS(Options!$H$3:$H$32,Options!$B$3:$B$32,Check!B167),SUMIFS('Master P&amp;L'!$H$11:$H$106,'Master P&amp;L'!$B$11:$B$106,Check!B167)))</f>
        <v/>
      </c>
      <c r="D167" s="228" t="str">
        <f>IF(B167="","",SUMIFS(Input_APM!N:N,Input_APM!L:L,Check!B167,Input_APM!M:M,Check!$F$1))</f>
        <v/>
      </c>
      <c r="E167" s="212" t="str">
        <f>IF(B167="","",C167-M167)</f>
        <v/>
      </c>
      <c r="F167" s="228" t="str">
        <f>IF(B167="","",SUMIFS(Input_APM!N:N,Input_APM!M:M,Check!$F$1,Input_APM!L:L,Check!B167))</f>
        <v/>
      </c>
      <c r="G167" s="228" t="str">
        <f>IF(B167="","",SUMIFS(Input_APM!N:N,Input_APM!M:M,Check!$G$1,Input_APM!L:L,Check!B167))</f>
        <v/>
      </c>
      <c r="H167" s="212" t="str">
        <f>IF(B167="","",F167-G167)</f>
        <v/>
      </c>
      <c r="I167" s="212">
        <f>SUMIFS(Input_APM!N:N,Input_APM!L:L,Check!B167)</f>
        <v>0</v>
      </c>
      <c r="J167" s="214" t="str">
        <f>IF(B167="","",(F167+G167)-I167)</f>
        <v/>
      </c>
      <c r="K167" s="21" t="str">
        <f>IF(B167="","",SUMIFS('Input_APM (Zenith)'!N:N,'Input_APM (Zenith)'!L:L,Check!B167,'Input_APM (Zenith)'!M:M,Check!$F$1))</f>
        <v/>
      </c>
      <c r="L167" s="21" t="str">
        <f>IF(B167="","",SUMIFS('Input_APM (Zenith)'!N:N,'Input_APM (Zenith)'!L:L,Check!B167,'Input_APM (Zenith)'!M:M,Check!$G$1))</f>
        <v/>
      </c>
      <c r="M167" s="212" t="str">
        <f>IF(B167="","",F167+G167+K167+L167)</f>
        <v/>
      </c>
      <c r="O167"/>
      <c r="P167" s="212" t="str">
        <f>IF(O167="","",IF(OR(LEFT(O167,4)="Cash",LEFT(O167,4)="Prov"),0,SUMIFS(Input_APM!N:N,Input_APM!L:L,Check!O167)))</f>
        <v/>
      </c>
      <c r="Q167" s="21" t="str">
        <f>IF(O167="","",IF(LEN(O167)&gt;9,SUMIFS(Options!$H$3:$H$32,Options!$B$3:$B$32,Check!O167),SUMIFS('Master P&amp;L'!$H$11:$H$106,'Master P&amp;L'!$B$11:$B$106,Check!O167)))</f>
        <v/>
      </c>
      <c r="R167" s="212" t="str">
        <f t="shared" ref="R167:R177" si="53">IF(O167="","",P167-Q167)</f>
        <v/>
      </c>
      <c r="S167" s="355" t="str">
        <f t="shared" si="37"/>
        <v/>
      </c>
    </row>
    <row r="168" spans="3:19">
      <c r="C168" s="228" t="str">
        <f>IF(B168="","",IF(LEN(B168)&gt;9,SUMIFS(Options!$H$3:$H$32,Options!$B$3:$B$32,Check!B168),SUMIFS('Master P&amp;L'!$H$11:$H$106,'Master P&amp;L'!$B$11:$B$106,Check!B168)))</f>
        <v/>
      </c>
      <c r="D168" s="228" t="str">
        <f>IF(B168="","",SUMIFS(Input_APM!N:N,Input_APM!L:L,Check!B168,Input_APM!M:M,Check!$F$1))</f>
        <v/>
      </c>
      <c r="E168" s="212" t="str">
        <f t="shared" ref="E168:E175" si="54">IF(B168="","",C168-M168)</f>
        <v/>
      </c>
      <c r="F168" s="228" t="str">
        <f>IF(B168="","",SUMIFS(Input_APM!N:N,Input_APM!M:M,Check!$F$1,Input_APM!L:L,Check!B168))</f>
        <v/>
      </c>
      <c r="G168" s="228" t="str">
        <f>IF(B168="","",SUMIFS(Input_APM!N:N,Input_APM!M:M,Check!$G$1,Input_APM!L:L,Check!B168))</f>
        <v/>
      </c>
      <c r="H168" s="212" t="str">
        <f t="shared" ref="H168:H175" si="55">IF(B168="","",F168-G168)</f>
        <v/>
      </c>
      <c r="I168" s="212">
        <f>SUMIFS(Input_APM!N:N,Input_APM!L:L,Check!B168)</f>
        <v>0</v>
      </c>
      <c r="J168" s="214" t="str">
        <f t="shared" ref="J168:J175" si="56">IF(B168="","",(F168+G168)-I168)</f>
        <v/>
      </c>
      <c r="K168" s="21" t="str">
        <f>IF(B168="","",SUMIFS('Input_APM (Zenith)'!N:N,'Input_APM (Zenith)'!L:L,Check!B168,'Input_APM (Zenith)'!M:M,Check!$F$1))</f>
        <v/>
      </c>
      <c r="L168" s="21" t="str">
        <f>IF(B168="","",SUMIFS('Input_APM (Zenith)'!N:N,'Input_APM (Zenith)'!L:L,Check!B168,'Input_APM (Zenith)'!M:M,Check!$G$1))</f>
        <v/>
      </c>
      <c r="M168" s="212" t="str">
        <f t="shared" ref="M168:M175" si="57">IF(B168="","",F168+G168+K168+L168)</f>
        <v/>
      </c>
      <c r="O168"/>
      <c r="P168" s="212" t="str">
        <f>IF(O168="","",IF(OR(LEFT(O168,4)="Cash",LEFT(O168,4)="Prov"),0,SUMIFS(Input_APM!N:N,Input_APM!L:L,Check!O168)))</f>
        <v/>
      </c>
      <c r="Q168" s="21" t="str">
        <f>IF(O168="","",IF(LEN(O168)&gt;9,SUMIFS(Options!$H$3:$H$32,Options!$B$3:$B$32,Check!O168),SUMIFS('Master P&amp;L'!$H$11:$H$106,'Master P&amp;L'!$B$11:$B$106,Check!O168)))</f>
        <v/>
      </c>
      <c r="R168" s="212" t="str">
        <f t="shared" si="53"/>
        <v/>
      </c>
      <c r="S168" s="355" t="str">
        <f t="shared" si="37"/>
        <v/>
      </c>
    </row>
    <row r="169" spans="3:19">
      <c r="C169" s="228" t="str">
        <f>IF(B169="","",IF(LEN(B169)&gt;9,SUMIFS(Options!$H$3:$H$32,Options!$B$3:$B$32,Check!B169),SUMIFS('Master P&amp;L'!$H$11:$H$106,'Master P&amp;L'!$B$11:$B$106,Check!B169)))</f>
        <v/>
      </c>
      <c r="D169" s="228" t="str">
        <f>IF(B169="","",SUMIFS(Input_APM!N:N,Input_APM!L:L,Check!B169,Input_APM!M:M,Check!$F$1))</f>
        <v/>
      </c>
      <c r="E169" s="212" t="str">
        <f t="shared" si="54"/>
        <v/>
      </c>
      <c r="F169" s="228" t="str">
        <f>IF(B169="","",SUMIFS(Input_APM!N:N,Input_APM!M:M,Check!$F$1,Input_APM!L:L,Check!B169))</f>
        <v/>
      </c>
      <c r="G169" s="228" t="str">
        <f>IF(B169="","",SUMIFS(Input_APM!N:N,Input_APM!M:M,Check!$G$1,Input_APM!L:L,Check!B169))</f>
        <v/>
      </c>
      <c r="H169" s="212" t="str">
        <f t="shared" si="55"/>
        <v/>
      </c>
      <c r="I169" s="212">
        <f>SUMIFS(Input_APM!N:N,Input_APM!L:L,Check!B169)</f>
        <v>0</v>
      </c>
      <c r="J169" s="214" t="str">
        <f t="shared" si="56"/>
        <v/>
      </c>
      <c r="K169" s="21" t="str">
        <f>IF(B169="","",SUMIFS('Input_APM (Zenith)'!N:N,'Input_APM (Zenith)'!L:L,Check!B169,'Input_APM (Zenith)'!M:M,Check!$F$1))</f>
        <v/>
      </c>
      <c r="L169" s="21" t="str">
        <f>IF(B169="","",SUMIFS('Input_APM (Zenith)'!N:N,'Input_APM (Zenith)'!L:L,Check!B169,'Input_APM (Zenith)'!M:M,Check!$G$1))</f>
        <v/>
      </c>
      <c r="M169" s="212" t="str">
        <f t="shared" si="57"/>
        <v/>
      </c>
      <c r="O169"/>
      <c r="P169" s="212" t="str">
        <f>IF(O169="","",IF(OR(LEFT(O169,4)="Cash",LEFT(O169,4)="Prov"),0,SUMIFS(Input_APM!N:N,Input_APM!L:L,Check!O169)))</f>
        <v/>
      </c>
      <c r="Q169" s="21" t="str">
        <f>IF(O169="","",IF(LEN(O169)&gt;9,SUMIFS(Options!$H$3:$H$32,Options!$B$3:$B$32,Check!O169),SUMIFS('Master P&amp;L'!$H$11:$H$106,'Master P&amp;L'!$B$11:$B$106,Check!O169)))</f>
        <v/>
      </c>
      <c r="R169" s="212" t="str">
        <f t="shared" si="53"/>
        <v/>
      </c>
      <c r="S169" s="355" t="str">
        <f t="shared" si="37"/>
        <v/>
      </c>
    </row>
    <row r="170" spans="3:19">
      <c r="C170" s="228" t="str">
        <f>IF(B170="","",IF(LEN(B170)&gt;9,SUMIFS(Options!$H$3:$H$32,Options!$B$3:$B$32,Check!B170),SUMIFS('Master P&amp;L'!$H$11:$H$106,'Master P&amp;L'!$B$11:$B$106,Check!B170)))</f>
        <v/>
      </c>
      <c r="D170" s="228" t="str">
        <f>IF(B170="","",SUMIFS(Input_APM!N:N,Input_APM!L:L,Check!B170,Input_APM!M:M,Check!$F$1))</f>
        <v/>
      </c>
      <c r="E170" s="212" t="str">
        <f t="shared" si="54"/>
        <v/>
      </c>
      <c r="F170" s="228" t="str">
        <f>IF(B170="","",SUMIFS(Input_APM!N:N,Input_APM!M:M,Check!$F$1,Input_APM!L:L,Check!B170))</f>
        <v/>
      </c>
      <c r="G170" s="228" t="str">
        <f>IF(B170="","",SUMIFS(Input_APM!N:N,Input_APM!M:M,Check!$G$1,Input_APM!L:L,Check!B170))</f>
        <v/>
      </c>
      <c r="H170" s="212" t="str">
        <f t="shared" si="55"/>
        <v/>
      </c>
      <c r="I170" s="212">
        <f>SUMIFS(Input_APM!N:N,Input_APM!L:L,Check!B170)</f>
        <v>0</v>
      </c>
      <c r="J170" s="214" t="str">
        <f t="shared" si="56"/>
        <v/>
      </c>
      <c r="K170" s="21" t="str">
        <f>IF(B170="","",SUMIFS('Input_APM (Zenith)'!N:N,'Input_APM (Zenith)'!L:L,Check!B170,'Input_APM (Zenith)'!M:M,Check!$F$1))</f>
        <v/>
      </c>
      <c r="L170" s="21" t="str">
        <f>IF(B170="","",SUMIFS('Input_APM (Zenith)'!N:N,'Input_APM (Zenith)'!L:L,Check!B170,'Input_APM (Zenith)'!M:M,Check!$G$1))</f>
        <v/>
      </c>
      <c r="M170" s="212" t="str">
        <f t="shared" si="57"/>
        <v/>
      </c>
      <c r="O170"/>
      <c r="P170" s="212" t="str">
        <f>IF(O170="","",IF(OR(LEFT(O170,4)="Cash",LEFT(O170,4)="Prov"),0,SUMIFS(Input_APM!N:N,Input_APM!L:L,Check!O170)))</f>
        <v/>
      </c>
      <c r="Q170" s="21" t="str">
        <f>IF(O170="","",IF(LEN(O170)&gt;9,SUMIFS(Options!$H$3:$H$32,Options!$B$3:$B$32,Check!O170),SUMIFS('Master P&amp;L'!$H$11:$H$106,'Master P&amp;L'!$B$11:$B$106,Check!O170)))</f>
        <v/>
      </c>
      <c r="R170" s="212" t="str">
        <f t="shared" si="53"/>
        <v/>
      </c>
      <c r="S170" s="355" t="str">
        <f t="shared" si="37"/>
        <v/>
      </c>
    </row>
    <row r="171" spans="3:19">
      <c r="C171" s="228" t="str">
        <f>IF(B171="","",IF(LEN(B171)&gt;9,SUMIFS(Options!$H$3:$H$32,Options!$B$3:$B$32,Check!B171),SUMIFS('Master P&amp;L'!$H$11:$H$106,'Master P&amp;L'!$B$11:$B$106,Check!B171)))</f>
        <v/>
      </c>
      <c r="D171" s="228" t="str">
        <f>IF(B171="","",SUMIFS(Input_APM!N:N,Input_APM!L:L,Check!B171,Input_APM!M:M,Check!$F$1))</f>
        <v/>
      </c>
      <c r="E171" s="212" t="str">
        <f t="shared" si="54"/>
        <v/>
      </c>
      <c r="F171" s="228" t="str">
        <f>IF(B171="","",SUMIFS(Input_APM!N:N,Input_APM!M:M,Check!$F$1,Input_APM!L:L,Check!B171))</f>
        <v/>
      </c>
      <c r="G171" s="228" t="str">
        <f>IF(B171="","",SUMIFS(Input_APM!N:N,Input_APM!M:M,Check!$G$1,Input_APM!L:L,Check!B171))</f>
        <v/>
      </c>
      <c r="H171" s="212" t="str">
        <f t="shared" si="55"/>
        <v/>
      </c>
      <c r="I171" s="212">
        <f>SUMIFS(Input_APM!N:N,Input_APM!L:L,Check!B171)</f>
        <v>0</v>
      </c>
      <c r="J171" s="214" t="str">
        <f t="shared" si="56"/>
        <v/>
      </c>
      <c r="K171" s="21" t="str">
        <f>IF(B171="","",SUMIFS('Input_APM (Zenith)'!N:N,'Input_APM (Zenith)'!L:L,Check!B171,'Input_APM (Zenith)'!M:M,Check!$F$1))</f>
        <v/>
      </c>
      <c r="L171" s="21" t="str">
        <f>IF(B171="","",SUMIFS('Input_APM (Zenith)'!N:N,'Input_APM (Zenith)'!L:L,Check!B171,'Input_APM (Zenith)'!M:M,Check!$G$1))</f>
        <v/>
      </c>
      <c r="M171" s="212" t="str">
        <f t="shared" si="57"/>
        <v/>
      </c>
      <c r="O171"/>
      <c r="P171" s="212" t="str">
        <f>IF(O171="","",IF(OR(LEFT(O171,4)="Cash",LEFT(O171,4)="Prov"),0,SUMIFS(Input_APM!N:N,Input_APM!L:L,Check!O171)))</f>
        <v/>
      </c>
      <c r="Q171" s="21" t="str">
        <f>IF(O171="","",IF(LEN(O171)&gt;9,SUMIFS(Options!$H$3:$H$32,Options!$B$3:$B$32,Check!O171),SUMIFS('Master P&amp;L'!$H$11:$H$106,'Master P&amp;L'!$B$11:$B$106,Check!O171)))</f>
        <v/>
      </c>
      <c r="R171" s="212" t="str">
        <f t="shared" si="53"/>
        <v/>
      </c>
      <c r="S171" s="355" t="str">
        <f t="shared" si="37"/>
        <v/>
      </c>
    </row>
    <row r="172" spans="3:19">
      <c r="C172" s="228" t="str">
        <f>IF(B172="","",IF(LEN(B172)&gt;9,SUMIFS(Options!$H$3:$H$32,Options!$B$3:$B$32,Check!B172),SUMIFS('Master P&amp;L'!$H$11:$H$106,'Master P&amp;L'!$B$11:$B$106,Check!B172)))</f>
        <v/>
      </c>
      <c r="D172" s="228" t="str">
        <f>IF(B172="","",SUMIFS(Input_APM!N:N,Input_APM!L:L,Check!B172,Input_APM!M:M,Check!$F$1))</f>
        <v/>
      </c>
      <c r="E172" s="212" t="str">
        <f t="shared" si="54"/>
        <v/>
      </c>
      <c r="F172" s="228" t="str">
        <f>IF(B172="","",SUMIFS(Input_APM!N:N,Input_APM!M:M,Check!$F$1,Input_APM!L:L,Check!B172))</f>
        <v/>
      </c>
      <c r="G172" s="228" t="str">
        <f>IF(B172="","",SUMIFS(Input_APM!N:N,Input_APM!M:M,Check!$G$1,Input_APM!L:L,Check!B172))</f>
        <v/>
      </c>
      <c r="H172" s="212" t="str">
        <f t="shared" si="55"/>
        <v/>
      </c>
      <c r="I172" s="212">
        <f>SUMIFS(Input_APM!N:N,Input_APM!L:L,Check!B172)</f>
        <v>0</v>
      </c>
      <c r="J172" s="214" t="str">
        <f t="shared" si="56"/>
        <v/>
      </c>
      <c r="K172" s="21" t="str">
        <f>IF(B172="","",SUMIFS('Input_APM (Zenith)'!N:N,'Input_APM (Zenith)'!L:L,Check!B172,'Input_APM (Zenith)'!M:M,Check!$F$1))</f>
        <v/>
      </c>
      <c r="L172" s="21" t="str">
        <f>IF(B172="","",SUMIFS('Input_APM (Zenith)'!N:N,'Input_APM (Zenith)'!L:L,Check!B172,'Input_APM (Zenith)'!M:M,Check!$G$1))</f>
        <v/>
      </c>
      <c r="M172" s="212" t="str">
        <f t="shared" si="57"/>
        <v/>
      </c>
      <c r="O172"/>
      <c r="P172" s="212" t="str">
        <f>IF(O172="","",IF(OR(LEFT(O172,4)="Cash",LEFT(O172,4)="Prov"),0,SUMIFS(Input_APM!N:N,Input_APM!L:L,Check!O172)))</f>
        <v/>
      </c>
      <c r="Q172" s="21" t="str">
        <f>IF(O172="","",IF(LEN(O172)&gt;9,SUMIFS(Options!$H$3:$H$32,Options!$B$3:$B$32,Check!O172),SUMIFS('Master P&amp;L'!$H$11:$H$106,'Master P&amp;L'!$B$11:$B$106,Check!O172)))</f>
        <v/>
      </c>
      <c r="R172" s="212" t="str">
        <f t="shared" si="53"/>
        <v/>
      </c>
      <c r="S172" s="355" t="str">
        <f t="shared" si="37"/>
        <v/>
      </c>
    </row>
    <row r="173" spans="3:19">
      <c r="C173" s="228" t="str">
        <f>IF(B173="","",IF(LEN(B173)&gt;9,SUMIFS(Options!$H$3:$H$32,Options!$B$3:$B$32,Check!B173),SUMIFS('Master P&amp;L'!$H$11:$H$106,'Master P&amp;L'!$B$11:$B$106,Check!B173)))</f>
        <v/>
      </c>
      <c r="D173" s="228" t="str">
        <f>IF(B173="","",SUMIFS(Input_APM!N:N,Input_APM!L:L,Check!B173,Input_APM!M:M,Check!$F$1))</f>
        <v/>
      </c>
      <c r="E173" s="212" t="str">
        <f t="shared" si="54"/>
        <v/>
      </c>
      <c r="F173" s="228" t="str">
        <f>IF(B173="","",SUMIFS(Input_APM!N:N,Input_APM!M:M,Check!$F$1,Input_APM!L:L,Check!B173))</f>
        <v/>
      </c>
      <c r="G173" s="228" t="str">
        <f>IF(B173="","",SUMIFS(Input_APM!N:N,Input_APM!M:M,Check!$G$1,Input_APM!L:L,Check!B173))</f>
        <v/>
      </c>
      <c r="H173" s="212" t="str">
        <f t="shared" si="55"/>
        <v/>
      </c>
      <c r="I173" s="212">
        <f>SUMIFS(Input_APM!N:N,Input_APM!L:L,Check!B173)</f>
        <v>0</v>
      </c>
      <c r="J173" s="214" t="str">
        <f t="shared" si="56"/>
        <v/>
      </c>
      <c r="K173" s="21" t="str">
        <f>IF(B173="","",SUMIFS('Input_APM (Zenith)'!N:N,'Input_APM (Zenith)'!L:L,Check!B173,'Input_APM (Zenith)'!M:M,Check!$F$1))</f>
        <v/>
      </c>
      <c r="L173" s="21" t="str">
        <f>IF(B173="","",SUMIFS('Input_APM (Zenith)'!N:N,'Input_APM (Zenith)'!L:L,Check!B173,'Input_APM (Zenith)'!M:M,Check!$G$1))</f>
        <v/>
      </c>
      <c r="M173" s="212" t="str">
        <f t="shared" si="57"/>
        <v/>
      </c>
      <c r="O173"/>
      <c r="P173" s="212" t="str">
        <f>IF(O173="","",IF(OR(LEFT(O173,4)="Cash",LEFT(O173,4)="Prov"),0,SUMIFS(Input_APM!N:N,Input_APM!L:L,Check!O173)))</f>
        <v/>
      </c>
      <c r="Q173" s="21" t="str">
        <f>IF(O173="","",IF(LEN(O173)&gt;9,SUMIFS(Options!$H$3:$H$32,Options!$B$3:$B$32,Check!O173),SUMIFS('Master P&amp;L'!$H$11:$H$106,'Master P&amp;L'!$B$11:$B$106,Check!O173)))</f>
        <v/>
      </c>
      <c r="R173" s="212" t="str">
        <f t="shared" si="53"/>
        <v/>
      </c>
      <c r="S173" s="355" t="str">
        <f t="shared" si="37"/>
        <v/>
      </c>
    </row>
    <row r="174" spans="3:19">
      <c r="C174" s="228" t="str">
        <f>IF(B174="","",IF(LEN(B174)&gt;9,SUMIFS(Options!$H$3:$H$32,Options!$B$3:$B$32,Check!B174),SUMIFS('Master P&amp;L'!$H$11:$H$106,'Master P&amp;L'!$B$11:$B$106,Check!B174)))</f>
        <v/>
      </c>
      <c r="D174" s="228" t="str">
        <f>IF(B174="","",SUMIFS(Input_APM!N:N,Input_APM!L:L,Check!B174,Input_APM!M:M,Check!$F$1))</f>
        <v/>
      </c>
      <c r="E174" s="212" t="str">
        <f t="shared" si="54"/>
        <v/>
      </c>
      <c r="F174" s="228" t="str">
        <f>IF(B174="","",SUMIFS(Input_APM!N:N,Input_APM!M:M,Check!$F$1,Input_APM!L:L,Check!B174))</f>
        <v/>
      </c>
      <c r="G174" s="228" t="str">
        <f>IF(B174="","",SUMIFS(Input_APM!N:N,Input_APM!M:M,Check!$G$1,Input_APM!L:L,Check!B174))</f>
        <v/>
      </c>
      <c r="H174" s="212" t="str">
        <f t="shared" si="55"/>
        <v/>
      </c>
      <c r="I174" s="212">
        <f>SUMIFS(Input_APM!N:N,Input_APM!L:L,Check!B174)</f>
        <v>0</v>
      </c>
      <c r="J174" s="214" t="str">
        <f t="shared" si="56"/>
        <v/>
      </c>
      <c r="K174" s="21" t="str">
        <f>IF(B174="","",SUMIFS('Input_APM (Zenith)'!N:N,'Input_APM (Zenith)'!L:L,Check!B174,'Input_APM (Zenith)'!M:M,Check!$F$1))</f>
        <v/>
      </c>
      <c r="L174" s="21" t="str">
        <f>IF(B174="","",SUMIFS('Input_APM (Zenith)'!N:N,'Input_APM (Zenith)'!L:L,Check!B174,'Input_APM (Zenith)'!M:M,Check!$G$1))</f>
        <v/>
      </c>
      <c r="M174" s="212" t="str">
        <f t="shared" si="57"/>
        <v/>
      </c>
      <c r="O174"/>
      <c r="P174" s="212" t="str">
        <f>IF(O174="","",IF(OR(LEFT(O174,4)="Cash",LEFT(O174,4)="Prov"),0,SUMIFS(Input_APM!N:N,Input_APM!L:L,Check!O174)))</f>
        <v/>
      </c>
      <c r="Q174" s="21" t="str">
        <f>IF(O174="","",IF(LEN(O174)&gt;9,SUMIFS(Options!$H$3:$H$32,Options!$B$3:$B$32,Check!O174),SUMIFS('Master P&amp;L'!$H$11:$H$106,'Master P&amp;L'!$B$11:$B$106,Check!O174)))</f>
        <v/>
      </c>
      <c r="R174" s="212" t="str">
        <f t="shared" si="53"/>
        <v/>
      </c>
      <c r="S174" s="355" t="str">
        <f t="shared" si="37"/>
        <v/>
      </c>
    </row>
    <row r="175" spans="3:19">
      <c r="C175" s="228" t="str">
        <f>IF(B175="","",IF(LEN(B175)&gt;9,SUMIFS(Options!$H$3:$H$32,Options!$B$3:$B$32,Check!B175),SUMIFS('Master P&amp;L'!$H$11:$H$106,'Master P&amp;L'!$B$11:$B$106,Check!B175)))</f>
        <v/>
      </c>
      <c r="D175" s="228" t="str">
        <f>IF(B175="","",SUMIFS(Input_APM!N:N,Input_APM!L:L,Check!B175,Input_APM!M:M,Check!$F$1))</f>
        <v/>
      </c>
      <c r="E175" s="212" t="str">
        <f t="shared" si="54"/>
        <v/>
      </c>
      <c r="F175" s="228" t="str">
        <f>IF(B175="","",SUMIFS(Input_APM!N:N,Input_APM!M:M,Check!$F$1,Input_APM!L:L,Check!B175))</f>
        <v/>
      </c>
      <c r="G175" s="228" t="str">
        <f>IF(B175="","",SUMIFS(Input_APM!N:N,Input_APM!M:M,Check!$G$1,Input_APM!L:L,Check!B175))</f>
        <v/>
      </c>
      <c r="H175" s="212" t="str">
        <f t="shared" si="55"/>
        <v/>
      </c>
      <c r="I175" s="212">
        <f>SUMIFS(Input_APM!N:N,Input_APM!L:L,Check!B175)</f>
        <v>0</v>
      </c>
      <c r="J175" s="214" t="str">
        <f t="shared" si="56"/>
        <v/>
      </c>
      <c r="K175" s="21" t="str">
        <f>IF(B175="","",SUMIFS('Input_APM (Zenith)'!N:N,'Input_APM (Zenith)'!L:L,Check!B175,'Input_APM (Zenith)'!M:M,Check!$F$1))</f>
        <v/>
      </c>
      <c r="L175" s="21" t="str">
        <f>IF(B175="","",SUMIFS('Input_APM (Zenith)'!N:N,'Input_APM (Zenith)'!L:L,Check!B175,'Input_APM (Zenith)'!M:M,Check!$G$1))</f>
        <v/>
      </c>
      <c r="M175" s="212" t="str">
        <f t="shared" si="57"/>
        <v/>
      </c>
      <c r="O175"/>
      <c r="P175" s="212" t="str">
        <f>IF(O175="","",IF(OR(LEFT(O175,4)="Cash",LEFT(O175,4)="Prov"),0,SUMIFS(Input_APM!N:N,Input_APM!L:L,Check!O175)))</f>
        <v/>
      </c>
      <c r="Q175" s="21" t="str">
        <f>IF(O175="","",IF(LEN(O175)&gt;9,SUMIFS(Options!$H$3:$H$32,Options!$B$3:$B$32,Check!O175),SUMIFS('Master P&amp;L'!$H$11:$H$106,'Master P&amp;L'!$B$11:$B$106,Check!O175)))</f>
        <v/>
      </c>
      <c r="R175" s="212" t="str">
        <f t="shared" si="53"/>
        <v/>
      </c>
      <c r="S175" s="355" t="str">
        <f t="shared" si="37"/>
        <v/>
      </c>
    </row>
    <row r="176" spans="3:19">
      <c r="C176" s="228" t="str">
        <f>IF(B176="","",IF(LEN(B176)&gt;9,SUMIFS(Options!$H$3:$H$32,Options!$B$3:$B$32,Check!B176),SUMIFS('Master P&amp;L'!$H$11:$H$106,'Master P&amp;L'!$B$11:$B$106,Check!B176)))</f>
        <v/>
      </c>
      <c r="D176" s="228" t="str">
        <f>IF(B176="","",SUMIFS(Input_APM!N:N,Input_APM!L:L,Check!B176,Input_APM!M:M,Check!$F$1))</f>
        <v/>
      </c>
      <c r="E176" s="212" t="str">
        <f t="shared" ref="E176:E183" si="58">IF(B176="","",C176-M176)</f>
        <v/>
      </c>
      <c r="F176" s="228" t="str">
        <f>IF(B176="","",SUMIFS(Input_APM!N:N,Input_APM!M:M,Check!$F$1,Input_APM!L:L,Check!B176))</f>
        <v/>
      </c>
      <c r="G176" s="228" t="str">
        <f>IF(B176="","",SUMIFS(Input_APM!N:N,Input_APM!M:M,Check!$G$1,Input_APM!L:L,Check!B176))</f>
        <v/>
      </c>
      <c r="H176" s="212" t="str">
        <f t="shared" ref="H176:H183" si="59">IF(B176="","",F176-G176)</f>
        <v/>
      </c>
      <c r="I176" s="212">
        <f>SUMIFS(Input_APM!N:N,Input_APM!L:L,Check!B176)</f>
        <v>0</v>
      </c>
      <c r="J176" s="214" t="str">
        <f t="shared" ref="J176:J183" si="60">IF(B176="","",(F176+G176)-I176)</f>
        <v/>
      </c>
      <c r="K176" s="21" t="str">
        <f>IF(B176="","",SUMIFS('Input_APM (Zenith)'!N:N,'Input_APM (Zenith)'!L:L,Check!B176,'Input_APM (Zenith)'!M:M,Check!$F$1))</f>
        <v/>
      </c>
      <c r="L176" s="21" t="str">
        <f>IF(B176="","",SUMIFS('Input_APM (Zenith)'!N:N,'Input_APM (Zenith)'!L:L,Check!B176,'Input_APM (Zenith)'!M:M,Check!$G$1))</f>
        <v/>
      </c>
      <c r="M176" s="212" t="str">
        <f t="shared" ref="M176:M183" si="61">IF(B176="","",F176+G176+K176+L176)</f>
        <v/>
      </c>
      <c r="O176"/>
      <c r="P176" s="212" t="str">
        <f>IF(O176="","",IF(OR(LEFT(O176,4)="Cash",LEFT(O176,4)="Prov"),0,SUMIFS(Input_APM!N:N,Input_APM!L:L,Check!O176)))</f>
        <v/>
      </c>
      <c r="Q176" s="21" t="str">
        <f>IF(O176="","",IF(LEN(O176)&gt;9,SUMIFS(Options!$H$3:$H$32,Options!$B$3:$B$32,Check!O176),SUMIFS('Master P&amp;L'!$H$11:$H$106,'Master P&amp;L'!$B$11:$B$106,Check!O176)))</f>
        <v/>
      </c>
      <c r="R176" s="212" t="str">
        <f t="shared" si="53"/>
        <v/>
      </c>
      <c r="S176" s="355" t="str">
        <f t="shared" si="37"/>
        <v/>
      </c>
    </row>
    <row r="177" spans="3:19">
      <c r="C177" s="228" t="str">
        <f>IF(B177="","",IF(LEN(B177)&gt;9,SUMIFS(Options!$H$3:$H$32,Options!$B$3:$B$32,Check!B177),SUMIFS('Master P&amp;L'!$H$11:$H$106,'Master P&amp;L'!$B$11:$B$106,Check!B177)))</f>
        <v/>
      </c>
      <c r="D177" s="228" t="str">
        <f>IF(B177="","",SUMIFS(Input_APM!N:N,Input_APM!L:L,Check!B177,Input_APM!M:M,Check!$F$1))</f>
        <v/>
      </c>
      <c r="E177" s="212" t="str">
        <f t="shared" si="58"/>
        <v/>
      </c>
      <c r="F177" s="228" t="str">
        <f>IF(B177="","",SUMIFS(Input_APM!N:N,Input_APM!M:M,Check!$F$1,Input_APM!L:L,Check!B177))</f>
        <v/>
      </c>
      <c r="G177" s="228" t="str">
        <f>IF(B177="","",SUMIFS(Input_APM!N:N,Input_APM!M:M,Check!$G$1,Input_APM!L:L,Check!B177))</f>
        <v/>
      </c>
      <c r="H177" s="212" t="str">
        <f t="shared" si="59"/>
        <v/>
      </c>
      <c r="I177" s="212">
        <f>SUMIFS(Input_APM!N:N,Input_APM!L:L,Check!B177)</f>
        <v>0</v>
      </c>
      <c r="J177" s="214" t="str">
        <f t="shared" si="60"/>
        <v/>
      </c>
      <c r="K177" s="21" t="str">
        <f>IF(B177="","",SUMIFS('Input_APM (Zenith)'!N:N,'Input_APM (Zenith)'!L:L,Check!B177,'Input_APM (Zenith)'!M:M,Check!$F$1))</f>
        <v/>
      </c>
      <c r="L177" s="21" t="str">
        <f>IF(B177="","",SUMIFS('Input_APM (Zenith)'!N:N,'Input_APM (Zenith)'!L:L,Check!B177,'Input_APM (Zenith)'!M:M,Check!$G$1))</f>
        <v/>
      </c>
      <c r="M177" s="212" t="str">
        <f t="shared" si="61"/>
        <v/>
      </c>
      <c r="O177"/>
      <c r="P177" s="212" t="str">
        <f>IF(O177="","",IF(OR(LEFT(O177,4)="Cash",LEFT(O177,4)="Prov"),0,SUMIFS(Input_APM!N:N,Input_APM!L:L,Check!O177)))</f>
        <v/>
      </c>
      <c r="Q177" s="21" t="str">
        <f>IF(O177="","",IF(LEN(O177)&gt;9,SUMIFS(Options!$H$3:$H$32,Options!$B$3:$B$32,Check!O177),SUMIFS('Master P&amp;L'!$H$11:$H$106,'Master P&amp;L'!$B$11:$B$106,Check!O177)))</f>
        <v/>
      </c>
      <c r="R177" s="212" t="str">
        <f t="shared" si="53"/>
        <v/>
      </c>
      <c r="S177" s="355" t="str">
        <f t="shared" si="37"/>
        <v/>
      </c>
    </row>
    <row r="178" spans="3:19">
      <c r="C178" s="228" t="str">
        <f>IF(B178="","",IF(LEN(B178)&gt;9,SUMIFS(Options!$H$3:$H$32,Options!$B$3:$B$32,Check!B178),SUMIFS('Master P&amp;L'!$H$11:$H$106,'Master P&amp;L'!$B$11:$B$106,Check!B178)))</f>
        <v/>
      </c>
      <c r="D178" s="228" t="str">
        <f>IF(B178="","",SUMIFS(Input_APM!N:N,Input_APM!L:L,Check!B178,Input_APM!M:M,Check!$F$1))</f>
        <v/>
      </c>
      <c r="E178" s="212" t="str">
        <f t="shared" si="58"/>
        <v/>
      </c>
      <c r="F178" s="228" t="str">
        <f>IF(B178="","",SUMIFS(Input_APM!N:N,Input_APM!M:M,Check!$F$1,Input_APM!L:L,Check!B178))</f>
        <v/>
      </c>
      <c r="G178" s="228" t="str">
        <f>IF(B178="","",SUMIFS(Input_APM!N:N,Input_APM!M:M,Check!$G$1,Input_APM!L:L,Check!B178))</f>
        <v/>
      </c>
      <c r="H178" s="212" t="str">
        <f t="shared" si="59"/>
        <v/>
      </c>
      <c r="I178" s="212">
        <f>SUMIFS(Input_APM!N:N,Input_APM!L:L,Check!B178)</f>
        <v>0</v>
      </c>
      <c r="J178" s="214" t="str">
        <f t="shared" si="60"/>
        <v/>
      </c>
      <c r="K178" s="21" t="str">
        <f>IF(B178="","",SUMIFS('Input_APM (Zenith)'!N:N,'Input_APM (Zenith)'!L:L,Check!B178,'Input_APM (Zenith)'!M:M,Check!$F$1))</f>
        <v/>
      </c>
      <c r="L178" s="21" t="str">
        <f>IF(B178="","",SUMIFS('Input_APM (Zenith)'!N:N,'Input_APM (Zenith)'!L:L,Check!B178,'Input_APM (Zenith)'!M:M,Check!$G$1))</f>
        <v/>
      </c>
      <c r="M178" s="212" t="str">
        <f t="shared" si="61"/>
        <v/>
      </c>
      <c r="O178"/>
      <c r="P178" s="212" t="str">
        <f>IF(O178="","",IF(OR(LEFT(O178,4)="Cash",LEFT(O178,4)="Prov"),0,SUMIFS(Input_APM!N:N,Input_APM!L:L,Check!O178)))</f>
        <v/>
      </c>
      <c r="Q178" s="21" t="str">
        <f>IF(O178="","",IF(LEN(O178)&gt;9,SUMIFS(Options!$H$3:$H$32,Options!$B$3:$B$32,Check!O178),SUMIFS('Master P&amp;L'!$H$11:$H$106,'Master P&amp;L'!$B$11:$B$106,Check!O178)))</f>
        <v/>
      </c>
      <c r="R178" s="212" t="str">
        <f t="shared" ref="R178:R183" si="62">IF(O178="","",P178-Q178)</f>
        <v/>
      </c>
      <c r="S178" s="355" t="str">
        <f t="shared" si="37"/>
        <v/>
      </c>
    </row>
    <row r="179" spans="3:19">
      <c r="C179" s="228" t="str">
        <f>IF(B179="","",IF(LEN(B179)&gt;9,SUMIFS(Options!$H$3:$H$32,Options!$B$3:$B$32,Check!B179),SUMIFS('Master P&amp;L'!$H$11:$H$106,'Master P&amp;L'!$B$11:$B$106,Check!B179)))</f>
        <v/>
      </c>
      <c r="D179" s="228" t="str">
        <f>IF(B179="","",SUMIFS(Input_APM!N:N,Input_APM!L:L,Check!B179,Input_APM!M:M,Check!$F$1))</f>
        <v/>
      </c>
      <c r="E179" s="212" t="str">
        <f t="shared" si="58"/>
        <v/>
      </c>
      <c r="F179" s="228" t="str">
        <f>IF(B179="","",SUMIFS(Input_APM!N:N,Input_APM!M:M,Check!$F$1,Input_APM!L:L,Check!B179))</f>
        <v/>
      </c>
      <c r="G179" s="228" t="str">
        <f>IF(B179="","",SUMIFS(Input_APM!N:N,Input_APM!M:M,Check!$G$1,Input_APM!L:L,Check!B179))</f>
        <v/>
      </c>
      <c r="H179" s="212" t="str">
        <f t="shared" si="59"/>
        <v/>
      </c>
      <c r="I179" s="212">
        <f>SUMIFS(Input_APM!N:N,Input_APM!L:L,Check!B179)</f>
        <v>0</v>
      </c>
      <c r="J179" s="214" t="str">
        <f t="shared" si="60"/>
        <v/>
      </c>
      <c r="K179" s="21" t="str">
        <f>IF(B179="","",SUMIFS('Input_APM (Zenith)'!N:N,'Input_APM (Zenith)'!L:L,Check!B179,'Input_APM (Zenith)'!M:M,Check!$F$1))</f>
        <v/>
      </c>
      <c r="L179" s="21" t="str">
        <f>IF(B179="","",SUMIFS('Input_APM (Zenith)'!N:N,'Input_APM (Zenith)'!L:L,Check!B179,'Input_APM (Zenith)'!M:M,Check!$G$1))</f>
        <v/>
      </c>
      <c r="M179" s="212" t="str">
        <f t="shared" si="61"/>
        <v/>
      </c>
      <c r="O179"/>
      <c r="P179" s="212" t="str">
        <f>IF(O179="","",IF(OR(LEFT(O179,4)="Cash",LEFT(O179,4)="Prov"),0,SUMIFS(Input_APM!N:N,Input_APM!L:L,Check!O179)))</f>
        <v/>
      </c>
      <c r="Q179" s="21" t="str">
        <f>IF(O179="","",IF(LEN(O179)&gt;9,SUMIFS(Options!$H$3:$H$32,Options!$B$3:$B$32,Check!O179),SUMIFS('Master P&amp;L'!$H$11:$H$106,'Master P&amp;L'!$B$11:$B$106,Check!O179)))</f>
        <v/>
      </c>
      <c r="R179" s="212" t="str">
        <f t="shared" si="62"/>
        <v/>
      </c>
      <c r="S179" s="355" t="str">
        <f t="shared" si="37"/>
        <v/>
      </c>
    </row>
    <row r="180" spans="3:19">
      <c r="C180" s="228" t="str">
        <f>IF(B180="","",IF(LEN(B180)&gt;9,SUMIFS(Options!$H$3:$H$32,Options!$B$3:$B$32,Check!B180),SUMIFS('Master P&amp;L'!$H$11:$H$106,'Master P&amp;L'!$B$11:$B$106,Check!B180)))</f>
        <v/>
      </c>
      <c r="D180" s="228" t="str">
        <f>IF(B180="","",SUMIFS(Input_APM!N:N,Input_APM!L:L,Check!B180,Input_APM!M:M,Check!$F$1))</f>
        <v/>
      </c>
      <c r="E180" s="212" t="str">
        <f t="shared" si="58"/>
        <v/>
      </c>
      <c r="F180" s="228" t="str">
        <f>IF(B180="","",SUMIFS(Input_APM!N:N,Input_APM!M:M,Check!$F$1,Input_APM!L:L,Check!B180))</f>
        <v/>
      </c>
      <c r="G180" s="228" t="str">
        <f>IF(B180="","",SUMIFS(Input_APM!N:N,Input_APM!M:M,Check!$G$1,Input_APM!L:L,Check!B180))</f>
        <v/>
      </c>
      <c r="H180" s="212" t="str">
        <f t="shared" si="59"/>
        <v/>
      </c>
      <c r="I180" s="212">
        <f>SUMIFS(Input_APM!N:N,Input_APM!L:L,Check!B180)</f>
        <v>0</v>
      </c>
      <c r="J180" s="214" t="str">
        <f t="shared" si="60"/>
        <v/>
      </c>
      <c r="K180" s="21" t="str">
        <f>IF(B180="","",SUMIFS('Input_APM (Zenith)'!N:N,'Input_APM (Zenith)'!L:L,Check!B180,'Input_APM (Zenith)'!M:M,Check!$F$1))</f>
        <v/>
      </c>
      <c r="L180" s="21" t="str">
        <f>IF(B180="","",SUMIFS('Input_APM (Zenith)'!N:N,'Input_APM (Zenith)'!L:L,Check!B180,'Input_APM (Zenith)'!M:M,Check!$G$1))</f>
        <v/>
      </c>
      <c r="M180" s="212" t="str">
        <f t="shared" si="61"/>
        <v/>
      </c>
      <c r="O180"/>
      <c r="P180" s="212" t="str">
        <f>IF(O180="","",IF(OR(LEFT(O180,4)="Cash",LEFT(O180,4)="Prov"),0,SUMIFS(Input_APM!N:N,Input_APM!L:L,Check!O180)))</f>
        <v/>
      </c>
      <c r="Q180" s="21" t="str">
        <f>IF(O180="","",IF(LEN(O180)&gt;9,SUMIFS(Options!$H$3:$H$32,Options!$B$3:$B$32,Check!O180),SUMIFS('Master P&amp;L'!$H$11:$H$106,'Master P&amp;L'!$B$11:$B$106,Check!O180)))</f>
        <v/>
      </c>
      <c r="R180" s="212" t="str">
        <f t="shared" si="62"/>
        <v/>
      </c>
      <c r="S180" s="355" t="str">
        <f t="shared" si="37"/>
        <v/>
      </c>
    </row>
    <row r="181" spans="3:19">
      <c r="C181" s="228" t="str">
        <f>IF(B181="","",IF(LEN(B181)&gt;9,SUMIFS(Options!$H$3:$H$32,Options!$B$3:$B$32,Check!B181),SUMIFS('Master P&amp;L'!$H$11:$H$106,'Master P&amp;L'!$B$11:$B$106,Check!B181)))</f>
        <v/>
      </c>
      <c r="D181" s="228" t="str">
        <f>IF(B181="","",SUMIFS(Input_APM!N:N,Input_APM!L:L,Check!B181,Input_APM!M:M,Check!$F$1))</f>
        <v/>
      </c>
      <c r="E181" s="212" t="str">
        <f t="shared" si="58"/>
        <v/>
      </c>
      <c r="F181" s="228" t="str">
        <f>IF(B181="","",SUMIFS(Input_APM!N:N,Input_APM!M:M,Check!$F$1,Input_APM!L:L,Check!B181))</f>
        <v/>
      </c>
      <c r="G181" s="228" t="str">
        <f>IF(B181="","",SUMIFS(Input_APM!N:N,Input_APM!M:M,Check!$G$1,Input_APM!L:L,Check!B181))</f>
        <v/>
      </c>
      <c r="H181" s="212" t="str">
        <f t="shared" si="59"/>
        <v/>
      </c>
      <c r="I181" s="212">
        <f>SUMIFS(Input_APM!N:N,Input_APM!L:L,Check!B181)</f>
        <v>0</v>
      </c>
      <c r="J181" s="214" t="str">
        <f t="shared" si="60"/>
        <v/>
      </c>
      <c r="K181" s="21" t="str">
        <f>IF(B181="","",SUMIFS('Input_APM (Zenith)'!N:N,'Input_APM (Zenith)'!L:L,Check!B181,'Input_APM (Zenith)'!M:M,Check!$F$1))</f>
        <v/>
      </c>
      <c r="L181" s="21" t="str">
        <f>IF(B181="","",SUMIFS('Input_APM (Zenith)'!N:N,'Input_APM (Zenith)'!L:L,Check!B181,'Input_APM (Zenith)'!M:M,Check!$G$1))</f>
        <v/>
      </c>
      <c r="M181" s="212" t="str">
        <f t="shared" si="61"/>
        <v/>
      </c>
      <c r="O181"/>
      <c r="P181" s="212" t="str">
        <f>IF(O181="","",IF(OR(LEFT(O181,4)="Cash",LEFT(O181,4)="Prov"),0,SUMIFS(Input_APM!N:N,Input_APM!L:L,Check!O181)))</f>
        <v/>
      </c>
      <c r="Q181" s="21" t="str">
        <f>IF(O181="","",IF(LEN(O181)&gt;9,SUMIFS(Options!$H$3:$H$32,Options!$B$3:$B$32,Check!O181),SUMIFS('Master P&amp;L'!$H$11:$H$106,'Master P&amp;L'!$B$11:$B$106,Check!O181)))</f>
        <v/>
      </c>
      <c r="R181" s="212" t="str">
        <f t="shared" si="62"/>
        <v/>
      </c>
      <c r="S181" s="355" t="str">
        <f t="shared" si="37"/>
        <v/>
      </c>
    </row>
    <row r="182" spans="3:19">
      <c r="C182" s="228" t="str">
        <f>IF(B182="","",IF(LEN(B182)&gt;9,SUMIFS(Options!$H$3:$H$32,Options!$B$3:$B$32,Check!B182),SUMIFS('Master P&amp;L'!$H$11:$H$106,'Master P&amp;L'!$B$11:$B$106,Check!B182)))</f>
        <v/>
      </c>
      <c r="D182" s="228" t="str">
        <f>IF(B182="","",SUMIFS(Input_APM!N:N,Input_APM!L:L,Check!B182,Input_APM!M:M,Check!$F$1))</f>
        <v/>
      </c>
      <c r="E182" s="212" t="str">
        <f t="shared" si="58"/>
        <v/>
      </c>
      <c r="F182" s="228" t="str">
        <f>IF(B182="","",SUMIFS(Input_APM!N:N,Input_APM!M:M,Check!$F$1,Input_APM!L:L,Check!B182))</f>
        <v/>
      </c>
      <c r="G182" s="228" t="str">
        <f>IF(B182="","",SUMIFS(Input_APM!N:N,Input_APM!M:M,Check!$G$1,Input_APM!L:L,Check!B182))</f>
        <v/>
      </c>
      <c r="H182" s="212" t="str">
        <f t="shared" si="59"/>
        <v/>
      </c>
      <c r="I182" s="212">
        <f>SUMIFS(Input_APM!N:N,Input_APM!L:L,Check!B182)</f>
        <v>0</v>
      </c>
      <c r="J182" s="214" t="str">
        <f t="shared" si="60"/>
        <v/>
      </c>
      <c r="K182" s="21" t="str">
        <f>IF(B182="","",SUMIFS('Input_APM (Zenith)'!N:N,'Input_APM (Zenith)'!L:L,Check!B182,'Input_APM (Zenith)'!M:M,Check!$F$1))</f>
        <v/>
      </c>
      <c r="L182" s="21" t="str">
        <f>IF(B182="","",SUMIFS('Input_APM (Zenith)'!N:N,'Input_APM (Zenith)'!L:L,Check!B182,'Input_APM (Zenith)'!M:M,Check!$G$1))</f>
        <v/>
      </c>
      <c r="M182" s="212" t="str">
        <f t="shared" si="61"/>
        <v/>
      </c>
      <c r="O182"/>
      <c r="P182" s="212" t="str">
        <f>IF(O182="","",IF(OR(LEFT(O182,4)="Cash",LEFT(O182,4)="Prov"),0,SUMIFS(Input_APM!N:N,Input_APM!L:L,Check!O182)))</f>
        <v/>
      </c>
      <c r="Q182" s="21" t="str">
        <f>IF(O182="","",IF(LEN(O182)&gt;9,SUMIFS(Options!$H$3:$H$32,Options!$B$3:$B$32,Check!O182),SUMIFS('Master P&amp;L'!$H$11:$H$106,'Master P&amp;L'!$B$11:$B$106,Check!O182)))</f>
        <v/>
      </c>
      <c r="R182" s="212" t="str">
        <f t="shared" si="62"/>
        <v/>
      </c>
      <c r="S182" s="355" t="str">
        <f t="shared" si="37"/>
        <v/>
      </c>
    </row>
    <row r="183" spans="3:19">
      <c r="C183" s="228" t="str">
        <f>IF(B183="","",IF(LEN(B183)&gt;9,SUMIFS(Options!$H$3:$H$32,Options!$B$3:$B$32,Check!B183),SUMIFS('Master P&amp;L'!$H$11:$H$106,'Master P&amp;L'!$B$11:$B$106,Check!B183)))</f>
        <v/>
      </c>
      <c r="D183" s="228" t="str">
        <f>IF(B183="","",SUMIFS(Input_APM!N:N,Input_APM!L:L,Check!B183,Input_APM!M:M,Check!$F$1))</f>
        <v/>
      </c>
      <c r="E183" s="212" t="str">
        <f t="shared" si="58"/>
        <v/>
      </c>
      <c r="F183" s="228" t="str">
        <f>IF(B183="","",SUMIFS(Input_APM!N:N,Input_APM!M:M,Check!$F$1,Input_APM!L:L,Check!B183))</f>
        <v/>
      </c>
      <c r="G183" s="228" t="str">
        <f>IF(B183="","",SUMIFS(Input_APM!N:N,Input_APM!M:M,Check!$G$1,Input_APM!L:L,Check!B183))</f>
        <v/>
      </c>
      <c r="H183" s="212" t="str">
        <f t="shared" si="59"/>
        <v/>
      </c>
      <c r="I183" s="212">
        <f>SUMIFS(Input_APM!N:N,Input_APM!L:L,Check!B183)</f>
        <v>0</v>
      </c>
      <c r="J183" s="214" t="str">
        <f t="shared" si="60"/>
        <v/>
      </c>
      <c r="K183" s="21" t="str">
        <f>IF(B183="","",SUMIFS('Input_APM (Zenith)'!N:N,'Input_APM (Zenith)'!L:L,Check!B183,'Input_APM (Zenith)'!M:M,Check!$F$1))</f>
        <v/>
      </c>
      <c r="L183" s="21" t="str">
        <f>IF(B183="","",SUMIFS('Input_APM (Zenith)'!N:N,'Input_APM (Zenith)'!L:L,Check!B183,'Input_APM (Zenith)'!M:M,Check!$G$1))</f>
        <v/>
      </c>
      <c r="M183" s="212" t="str">
        <f t="shared" si="61"/>
        <v/>
      </c>
      <c r="O183"/>
      <c r="P183" s="212" t="str">
        <f>IF(O183="","",IF(OR(LEFT(O183,4)="Cash",LEFT(O183,4)="Prov"),0,SUMIFS(Input_APM!N:N,Input_APM!L:L,Check!O183)))</f>
        <v/>
      </c>
      <c r="Q183" s="21" t="str">
        <f>IF(O183="","",IF(LEN(O183)&gt;9,SUMIFS(Options!$H$3:$H$32,Options!$B$3:$B$32,Check!O183),SUMIFS('Master P&amp;L'!$H$11:$H$106,'Master P&amp;L'!$B$11:$B$106,Check!O183)))</f>
        <v/>
      </c>
      <c r="R183" s="212" t="str">
        <f t="shared" si="62"/>
        <v/>
      </c>
      <c r="S183" s="355" t="str">
        <f t="shared" si="37"/>
        <v/>
      </c>
    </row>
    <row r="184" spans="3:19">
      <c r="C184" s="228" t="str">
        <f>IF(B184="","",IF(LEN(B184)&gt;9,SUMIFS(Options!$H$3:$H$32,Options!$B$3:$B$32,Check!B184),SUMIFS('Master P&amp;L'!$H$11:$H$106,'Master P&amp;L'!$B$11:$B$106,Check!B184)))</f>
        <v/>
      </c>
      <c r="D184" s="228" t="str">
        <f>IF(B184="","",SUMIFS(Input_APM!N:N,Input_APM!L:L,Check!B184,Input_APM!M:M,Check!$F$1))</f>
        <v/>
      </c>
      <c r="E184" s="212" t="str">
        <f t="shared" ref="E184:E191" si="63">IF(B184="","",C184-M184)</f>
        <v/>
      </c>
      <c r="F184" s="228" t="str">
        <f>IF(B184="","",SUMIFS(Input_APM!N:N,Input_APM!M:M,Check!$F$1,Input_APM!L:L,Check!B184))</f>
        <v/>
      </c>
      <c r="G184" s="228" t="str">
        <f>IF(B184="","",SUMIFS(Input_APM!N:N,Input_APM!M:M,Check!$G$1,Input_APM!L:L,Check!B184))</f>
        <v/>
      </c>
      <c r="H184" s="212" t="str">
        <f t="shared" ref="H184:H191" si="64">IF(B184="","",F184-G184)</f>
        <v/>
      </c>
      <c r="I184" s="212">
        <f>SUMIFS(Input_APM!N:N,Input_APM!L:L,Check!B184)</f>
        <v>0</v>
      </c>
      <c r="J184" s="214" t="str">
        <f t="shared" ref="J184:J191" si="65">IF(B184="","",(F184+G184)-I184)</f>
        <v/>
      </c>
      <c r="K184" s="21" t="str">
        <f>IF(B184="","",SUMIFS('Input_APM (Zenith)'!N:N,'Input_APM (Zenith)'!L:L,Check!B184,'Input_APM (Zenith)'!M:M,Check!$F$1))</f>
        <v/>
      </c>
      <c r="L184" s="21" t="str">
        <f>IF(B184="","",SUMIFS('Input_APM (Zenith)'!N:N,'Input_APM (Zenith)'!L:L,Check!B184,'Input_APM (Zenith)'!M:M,Check!$G$1))</f>
        <v/>
      </c>
      <c r="M184" s="212" t="str">
        <f t="shared" ref="M184:M191" si="66">IF(B184="","",F184+G184+K184+L184)</f>
        <v/>
      </c>
      <c r="O184"/>
      <c r="P184" s="212" t="str">
        <f>IF(O184="","",IF(OR(LEFT(O184,4)="Cash",LEFT(O184,4)="Prov"),0,SUMIFS(Input_APM!N:N,Input_APM!L:L,Check!O184)))</f>
        <v/>
      </c>
      <c r="Q184" s="21" t="str">
        <f>IF(O184="","",IF(LEN(O184)&gt;9,SUMIFS(Options!$H$3:$H$32,Options!$B$3:$B$32,Check!O184),SUMIFS('Master P&amp;L'!$H$11:$H$106,'Master P&amp;L'!$B$11:$B$106,Check!O184)))</f>
        <v/>
      </c>
      <c r="R184" s="212" t="str">
        <f>IF(O184="","",P184-Q184)</f>
        <v/>
      </c>
      <c r="S184" s="355" t="str">
        <f t="shared" si="37"/>
        <v/>
      </c>
    </row>
    <row r="185" spans="3:19">
      <c r="C185" s="228" t="str">
        <f>IF(B185="","",IF(LEN(B185)&gt;9,SUMIFS(Options!$H$3:$H$32,Options!$B$3:$B$32,Check!B185),SUMIFS('Master P&amp;L'!$H$11:$H$106,'Master P&amp;L'!$B$11:$B$106,Check!B185)))</f>
        <v/>
      </c>
      <c r="D185" s="228" t="str">
        <f>IF(B185="","",SUMIFS(Input_APM!N:N,Input_APM!L:L,Check!B185,Input_APM!M:M,Check!$F$1))</f>
        <v/>
      </c>
      <c r="E185" s="212" t="str">
        <f t="shared" si="63"/>
        <v/>
      </c>
      <c r="F185" s="228" t="str">
        <f>IF(B185="","",SUMIFS(Input_APM!N:N,Input_APM!M:M,Check!$F$1,Input_APM!L:L,Check!B185))</f>
        <v/>
      </c>
      <c r="G185" s="228" t="str">
        <f>IF(B185="","",SUMIFS(Input_APM!N:N,Input_APM!M:M,Check!$G$1,Input_APM!L:L,Check!B185))</f>
        <v/>
      </c>
      <c r="H185" s="212" t="str">
        <f t="shared" si="64"/>
        <v/>
      </c>
      <c r="I185" s="212">
        <f>SUMIFS(Input_APM!N:N,Input_APM!L:L,Check!B185)</f>
        <v>0</v>
      </c>
      <c r="J185" s="214" t="str">
        <f t="shared" si="65"/>
        <v/>
      </c>
      <c r="K185" s="21" t="str">
        <f>IF(B185="","",SUMIFS('Input_APM (Zenith)'!N:N,'Input_APM (Zenith)'!L:L,Check!B185,'Input_APM (Zenith)'!M:M,Check!$F$1))</f>
        <v/>
      </c>
      <c r="L185" s="21" t="str">
        <f>IF(B185="","",SUMIFS('Input_APM (Zenith)'!N:N,'Input_APM (Zenith)'!L:L,Check!B185,'Input_APM (Zenith)'!M:M,Check!$G$1))</f>
        <v/>
      </c>
      <c r="M185" s="212" t="str">
        <f t="shared" si="66"/>
        <v/>
      </c>
      <c r="O185"/>
      <c r="P185" s="212" t="str">
        <f>IF(O185="","",IF(OR(LEFT(O185,4)="Cash",LEFT(O185,4)="Prov"),0,SUMIFS(Input_APM!N:N,Input_APM!L:L,Check!O185)))</f>
        <v/>
      </c>
      <c r="Q185" s="21" t="str">
        <f>IF(O185="","",IF(LEN(O185)&gt;9,SUMIFS(Options!$H$3:$H$32,Options!$B$3:$B$32,Check!O185),SUMIFS('Master P&amp;L'!$H$11:$H$106,'Master P&amp;L'!$B$11:$B$106,Check!O185)))</f>
        <v/>
      </c>
      <c r="R185" s="212" t="str">
        <f>IF(O185="","",P185-Q185)</f>
        <v/>
      </c>
      <c r="S185" s="355" t="str">
        <f t="shared" si="37"/>
        <v/>
      </c>
    </row>
    <row r="186" spans="3:19">
      <c r="C186" s="228" t="str">
        <f>IF(B186="","",IF(LEN(B186)&gt;9,SUMIFS(Options!$H$3:$H$32,Options!$B$3:$B$32,Check!B186),SUMIFS('Master P&amp;L'!$H$11:$H$106,'Master P&amp;L'!$B$11:$B$106,Check!B186)))</f>
        <v/>
      </c>
      <c r="D186" s="228" t="str">
        <f>IF(B186="","",SUMIFS(Input_APM!N:N,Input_APM!L:L,Check!B186,Input_APM!M:M,Check!$F$1))</f>
        <v/>
      </c>
      <c r="E186" s="212" t="str">
        <f t="shared" si="63"/>
        <v/>
      </c>
      <c r="F186" s="228" t="str">
        <f>IF(B186="","",SUMIFS(Input_APM!N:N,Input_APM!M:M,Check!$F$1,Input_APM!L:L,Check!B186))</f>
        <v/>
      </c>
      <c r="G186" s="228" t="str">
        <f>IF(B186="","",SUMIFS(Input_APM!N:N,Input_APM!M:M,Check!$G$1,Input_APM!L:L,Check!B186))</f>
        <v/>
      </c>
      <c r="H186" s="212" t="str">
        <f t="shared" si="64"/>
        <v/>
      </c>
      <c r="I186" s="212">
        <f>SUMIFS(Input_APM!N:N,Input_APM!L:L,Check!B186)</f>
        <v>0</v>
      </c>
      <c r="J186" s="214" t="str">
        <f t="shared" si="65"/>
        <v/>
      </c>
      <c r="K186" s="21" t="str">
        <f>IF(B186="","",SUMIFS('Input_APM (Zenith)'!N:N,'Input_APM (Zenith)'!L:L,Check!B186,'Input_APM (Zenith)'!M:M,Check!$F$1))</f>
        <v/>
      </c>
      <c r="L186" s="21" t="str">
        <f>IF(B186="","",SUMIFS('Input_APM (Zenith)'!N:N,'Input_APM (Zenith)'!L:L,Check!B186,'Input_APM (Zenith)'!M:M,Check!$G$1))</f>
        <v/>
      </c>
      <c r="M186" s="212" t="str">
        <f t="shared" si="66"/>
        <v/>
      </c>
      <c r="O186"/>
      <c r="P186" s="212" t="str">
        <f>IF(O186="","",IF(OR(LEFT(O186,4)="Cash",LEFT(O186,4)="Prov"),0,SUMIFS(Input_APM!N:N,Input_APM!L:L,Check!O186)))</f>
        <v/>
      </c>
      <c r="Q186" s="21" t="str">
        <f>IF(O186="","",IF(LEN(O186)&gt;9,SUMIFS(Options!$H$3:$H$32,Options!$B$3:$B$32,Check!O186),SUMIFS('Master P&amp;L'!$H$11:$H$106,'Master P&amp;L'!$B$11:$B$106,Check!O186)))</f>
        <v/>
      </c>
      <c r="R186" s="212" t="str">
        <f>IF(O186="","",P186-Q186)</f>
        <v/>
      </c>
      <c r="S186" s="355" t="str">
        <f t="shared" si="37"/>
        <v/>
      </c>
    </row>
    <row r="187" spans="3:19">
      <c r="C187" s="228" t="str">
        <f>IF(B187="","",IF(LEN(B187)&gt;9,SUMIFS(Options!$H$3:$H$32,Options!$B$3:$B$32,Check!B187),SUMIFS('Master P&amp;L'!$H$11:$H$106,'Master P&amp;L'!$B$11:$B$106,Check!B187)))</f>
        <v/>
      </c>
      <c r="D187" s="228" t="str">
        <f>IF(B187="","",SUMIFS(Input_APM!N:N,Input_APM!L:L,Check!B187,Input_APM!M:M,Check!$F$1))</f>
        <v/>
      </c>
      <c r="E187" s="212" t="str">
        <f t="shared" si="63"/>
        <v/>
      </c>
      <c r="F187" s="228" t="str">
        <f>IF(B187="","",SUMIFS(Input_APM!N:N,Input_APM!M:M,Check!$F$1,Input_APM!L:L,Check!B187))</f>
        <v/>
      </c>
      <c r="G187" s="228" t="str">
        <f>IF(B187="","",SUMIFS(Input_APM!N:N,Input_APM!M:M,Check!$G$1,Input_APM!L:L,Check!B187))</f>
        <v/>
      </c>
      <c r="H187" s="212" t="str">
        <f t="shared" si="64"/>
        <v/>
      </c>
      <c r="I187" s="212">
        <f>SUMIFS(Input_APM!N:N,Input_APM!L:L,Check!B187)</f>
        <v>0</v>
      </c>
      <c r="J187" s="214" t="str">
        <f t="shared" si="65"/>
        <v/>
      </c>
      <c r="K187" s="21" t="str">
        <f>IF(B187="","",SUMIFS('Input_APM (Zenith)'!N:N,'Input_APM (Zenith)'!L:L,Check!B187,'Input_APM (Zenith)'!M:M,Check!$F$1))</f>
        <v/>
      </c>
      <c r="L187" s="21" t="str">
        <f>IF(B187="","",SUMIFS('Input_APM (Zenith)'!N:N,'Input_APM (Zenith)'!L:L,Check!B187,'Input_APM (Zenith)'!M:M,Check!$G$1))</f>
        <v/>
      </c>
      <c r="M187" s="212" t="str">
        <f t="shared" si="66"/>
        <v/>
      </c>
      <c r="O187"/>
      <c r="P187" s="212" t="str">
        <f>IF(O187="","",IF(OR(LEFT(O187,4)="Cash",LEFT(O187,4)="Prov"),0,SUMIFS(Input_APM!N:N,Input_APM!L:L,Check!O187)))</f>
        <v/>
      </c>
      <c r="Q187" s="21" t="str">
        <f>IF(O187="","",IF(LEN(O187)&gt;9,SUMIFS(Options!$H$3:$H$32,Options!$B$3:$B$32,Check!O187),SUMIFS('Master P&amp;L'!$H$11:$H$106,'Master P&amp;L'!$B$11:$B$106,Check!O187)))</f>
        <v/>
      </c>
      <c r="R187" s="212" t="str">
        <f>IF(O187="","",P187-Q187)</f>
        <v/>
      </c>
      <c r="S187" s="355" t="str">
        <f t="shared" si="37"/>
        <v/>
      </c>
    </row>
    <row r="188" spans="3:19">
      <c r="C188" s="228" t="str">
        <f>IF(B188="","",IF(LEN(B188)&gt;9,SUMIFS(Options!$H$3:$H$32,Options!$B$3:$B$32,Check!B188),SUMIFS('Master P&amp;L'!$H$11:$H$106,'Master P&amp;L'!$B$11:$B$106,Check!B188)))</f>
        <v/>
      </c>
      <c r="D188" s="228" t="str">
        <f>IF(B188="","",SUMIFS(Input_APM!N:N,Input_APM!L:L,Check!B188,Input_APM!M:M,Check!$F$1))</f>
        <v/>
      </c>
      <c r="E188" s="212" t="str">
        <f t="shared" si="63"/>
        <v/>
      </c>
      <c r="F188" s="228" t="str">
        <f>IF(B188="","",SUMIFS(Input_APM!N:N,Input_APM!M:M,Check!$F$1,Input_APM!L:L,Check!B188))</f>
        <v/>
      </c>
      <c r="G188" s="228" t="str">
        <f>IF(B188="","",SUMIFS(Input_APM!N:N,Input_APM!M:M,Check!$G$1,Input_APM!L:L,Check!B188))</f>
        <v/>
      </c>
      <c r="H188" s="212" t="str">
        <f t="shared" si="64"/>
        <v/>
      </c>
      <c r="I188" s="212">
        <f>SUMIFS(Input_APM!N:N,Input_APM!L:L,Check!B188)</f>
        <v>0</v>
      </c>
      <c r="J188" s="214" t="str">
        <f t="shared" si="65"/>
        <v/>
      </c>
      <c r="K188" s="21" t="str">
        <f>IF(B188="","",SUMIFS('Input_APM (Zenith)'!N:N,'Input_APM (Zenith)'!L:L,Check!B188,'Input_APM (Zenith)'!M:M,Check!$F$1))</f>
        <v/>
      </c>
      <c r="L188" s="21" t="str">
        <f>IF(B188="","",SUMIFS('Input_APM (Zenith)'!N:N,'Input_APM (Zenith)'!L:L,Check!B188,'Input_APM (Zenith)'!M:M,Check!$G$1))</f>
        <v/>
      </c>
      <c r="M188" s="212" t="str">
        <f t="shared" si="66"/>
        <v/>
      </c>
      <c r="O188"/>
      <c r="P188" s="212" t="str">
        <f>IF(O188="","",IF(OR(LEFT(O188,4)="Cash",LEFT(O188,4)="Prov"),0,SUMIFS(Input_APM!N:N,Input_APM!L:L,Check!O188)))</f>
        <v/>
      </c>
      <c r="Q188" s="21" t="str">
        <f>IF(O188="","",IF(LEN(O188)&gt;9,SUMIFS(Options!$H$3:$H$32,Options!$B$3:$B$32,Check!O188),SUMIFS('Master P&amp;L'!$H$11:$H$106,'Master P&amp;L'!$B$11:$B$106,Check!O188)))</f>
        <v/>
      </c>
      <c r="R188" s="212" t="str">
        <f t="shared" ref="R188:R205" si="67">IF(O188="","",P188-Q188)</f>
        <v/>
      </c>
      <c r="S188" s="355" t="str">
        <f t="shared" si="37"/>
        <v/>
      </c>
    </row>
    <row r="189" spans="3:19">
      <c r="C189" s="228" t="str">
        <f>IF(B189="","",IF(LEN(B189)&gt;9,SUMIFS(Options!$H$3:$H$32,Options!$B$3:$B$32,Check!B189),SUMIFS('Master P&amp;L'!$H$11:$H$106,'Master P&amp;L'!$B$11:$B$106,Check!B189)))</f>
        <v/>
      </c>
      <c r="D189" s="228" t="str">
        <f>IF(B189="","",SUMIFS(Input_APM!N:N,Input_APM!L:L,Check!B189,Input_APM!M:M,Check!$F$1))</f>
        <v/>
      </c>
      <c r="E189" s="212" t="str">
        <f t="shared" si="63"/>
        <v/>
      </c>
      <c r="F189" s="228" t="str">
        <f>IF(B189="","",SUMIFS(Input_APM!N:N,Input_APM!M:M,Check!$F$1,Input_APM!L:L,Check!B189))</f>
        <v/>
      </c>
      <c r="G189" s="228" t="str">
        <f>IF(B189="","",SUMIFS(Input_APM!N:N,Input_APM!M:M,Check!$G$1,Input_APM!L:L,Check!B189))</f>
        <v/>
      </c>
      <c r="H189" s="212" t="str">
        <f t="shared" si="64"/>
        <v/>
      </c>
      <c r="I189" s="212">
        <f>SUMIFS(Input_APM!N:N,Input_APM!L:L,Check!B189)</f>
        <v>0</v>
      </c>
      <c r="J189" s="214" t="str">
        <f t="shared" si="65"/>
        <v/>
      </c>
      <c r="K189" s="21" t="str">
        <f>IF(B189="","",SUMIFS('Input_APM (Zenith)'!N:N,'Input_APM (Zenith)'!L:L,Check!B189,'Input_APM (Zenith)'!M:M,Check!$F$1))</f>
        <v/>
      </c>
      <c r="L189" s="21" t="str">
        <f>IF(B189="","",SUMIFS('Input_APM (Zenith)'!N:N,'Input_APM (Zenith)'!L:L,Check!B189,'Input_APM (Zenith)'!M:M,Check!$G$1))</f>
        <v/>
      </c>
      <c r="M189" s="212" t="str">
        <f t="shared" si="66"/>
        <v/>
      </c>
      <c r="O189"/>
      <c r="P189" s="212" t="str">
        <f>IF(O189="","",IF(OR(LEFT(O189,4)="Cash",LEFT(O189,4)="Prov"),0,SUMIFS(Input_APM!N:N,Input_APM!L:L,Check!O189)))</f>
        <v/>
      </c>
      <c r="Q189" s="21" t="str">
        <f>IF(O189="","",IF(LEN(O189)&gt;9,SUMIFS(Options!$H$3:$H$32,Options!$B$3:$B$32,Check!O189),SUMIFS('Master P&amp;L'!$H$11:$H$106,'Master P&amp;L'!$B$11:$B$106,Check!O189)))</f>
        <v/>
      </c>
      <c r="R189" s="212" t="str">
        <f t="shared" si="67"/>
        <v/>
      </c>
      <c r="S189" s="355" t="str">
        <f t="shared" si="37"/>
        <v/>
      </c>
    </row>
    <row r="190" spans="3:19">
      <c r="C190" s="228" t="str">
        <f>IF(B190="","",IF(LEN(B190)&gt;9,SUMIFS(Options!$H$3:$H$32,Options!$B$3:$B$32,Check!B190),SUMIFS('Master P&amp;L'!$H$11:$H$106,'Master P&amp;L'!$B$11:$B$106,Check!B190)))</f>
        <v/>
      </c>
      <c r="D190" s="228" t="str">
        <f>IF(B190="","",SUMIFS(Input_APM!N:N,Input_APM!L:L,Check!B190,Input_APM!M:M,Check!$F$1))</f>
        <v/>
      </c>
      <c r="E190" s="212" t="str">
        <f t="shared" si="63"/>
        <v/>
      </c>
      <c r="F190" s="228" t="str">
        <f>IF(B190="","",SUMIFS(Input_APM!N:N,Input_APM!M:M,Check!$F$1,Input_APM!L:L,Check!B190))</f>
        <v/>
      </c>
      <c r="G190" s="228" t="str">
        <f>IF(B190="","",SUMIFS(Input_APM!N:N,Input_APM!M:M,Check!$G$1,Input_APM!L:L,Check!B190))</f>
        <v/>
      </c>
      <c r="H190" s="212" t="str">
        <f t="shared" si="64"/>
        <v/>
      </c>
      <c r="I190" s="212">
        <f>SUMIFS(Input_APM!N:N,Input_APM!L:L,Check!B190)</f>
        <v>0</v>
      </c>
      <c r="J190" s="214" t="str">
        <f t="shared" si="65"/>
        <v/>
      </c>
      <c r="K190" s="21" t="str">
        <f>IF(B190="","",SUMIFS('Input_APM (Zenith)'!N:N,'Input_APM (Zenith)'!L:L,Check!B190,'Input_APM (Zenith)'!M:M,Check!$F$1))</f>
        <v/>
      </c>
      <c r="L190" s="21" t="str">
        <f>IF(B190="","",SUMIFS('Input_APM (Zenith)'!N:N,'Input_APM (Zenith)'!L:L,Check!B190,'Input_APM (Zenith)'!M:M,Check!$G$1))</f>
        <v/>
      </c>
      <c r="M190" s="212" t="str">
        <f t="shared" si="66"/>
        <v/>
      </c>
      <c r="O190"/>
      <c r="P190" s="212" t="str">
        <f>IF(O190="","",IF(OR(LEFT(O190,4)="Cash",LEFT(O190,4)="Prov"),0,SUMIFS(Input_APM!N:N,Input_APM!L:L,Check!O190)))</f>
        <v/>
      </c>
      <c r="Q190" s="21" t="str">
        <f>IF(O190="","",IF(LEN(O190)&gt;9,SUMIFS(Options!$H$3:$H$32,Options!$B$3:$B$32,Check!O190),SUMIFS('Master P&amp;L'!$H$11:$H$106,'Master P&amp;L'!$B$11:$B$106,Check!O190)))</f>
        <v/>
      </c>
      <c r="R190" s="212" t="str">
        <f t="shared" si="67"/>
        <v/>
      </c>
      <c r="S190" s="355" t="str">
        <f t="shared" si="37"/>
        <v/>
      </c>
    </row>
    <row r="191" spans="3:19">
      <c r="C191" s="228" t="str">
        <f>IF(B191="","",IF(LEN(B191)&gt;9,SUMIFS(Options!$H$3:$H$32,Options!$B$3:$B$32,Check!B191),SUMIFS('Master P&amp;L'!$H$11:$H$106,'Master P&amp;L'!$B$11:$B$106,Check!B191)))</f>
        <v/>
      </c>
      <c r="D191" s="228" t="str">
        <f>IF(B191="","",SUMIFS(Input_APM!N:N,Input_APM!L:L,Check!B191,Input_APM!M:M,Check!$F$1))</f>
        <v/>
      </c>
      <c r="E191" s="212" t="str">
        <f t="shared" si="63"/>
        <v/>
      </c>
      <c r="F191" s="228" t="str">
        <f>IF(B191="","",SUMIFS(Input_APM!N:N,Input_APM!M:M,Check!$F$1,Input_APM!L:L,Check!B191))</f>
        <v/>
      </c>
      <c r="G191" s="228" t="str">
        <f>IF(B191="","",SUMIFS(Input_APM!N:N,Input_APM!M:M,Check!$G$1,Input_APM!L:L,Check!B191))</f>
        <v/>
      </c>
      <c r="H191" s="212" t="str">
        <f t="shared" si="64"/>
        <v/>
      </c>
      <c r="I191" s="212">
        <f>SUMIFS(Input_APM!N:N,Input_APM!L:L,Check!B191)</f>
        <v>0</v>
      </c>
      <c r="J191" s="214" t="str">
        <f t="shared" si="65"/>
        <v/>
      </c>
      <c r="K191" s="21" t="str">
        <f>IF(B191="","",SUMIFS('Input_APM (Zenith)'!N:N,'Input_APM (Zenith)'!L:L,Check!B191,'Input_APM (Zenith)'!M:M,Check!$F$1))</f>
        <v/>
      </c>
      <c r="L191" s="21" t="str">
        <f>IF(B191="","",SUMIFS('Input_APM (Zenith)'!N:N,'Input_APM (Zenith)'!L:L,Check!B191,'Input_APM (Zenith)'!M:M,Check!$G$1))</f>
        <v/>
      </c>
      <c r="M191" s="212" t="str">
        <f t="shared" si="66"/>
        <v/>
      </c>
      <c r="O191"/>
      <c r="P191" s="212" t="str">
        <f>IF(O191="","",IF(OR(LEFT(O191,4)="Cash",LEFT(O191,4)="Prov"),0,SUMIFS(Input_APM!N:N,Input_APM!L:L,Check!O191)))</f>
        <v/>
      </c>
      <c r="Q191" s="21" t="str">
        <f>IF(O191="","",IF(LEN(O191)&gt;9,SUMIFS(Options!$H$3:$H$32,Options!$B$3:$B$32,Check!O191),SUMIFS('Master P&amp;L'!$H$11:$H$106,'Master P&amp;L'!$B$11:$B$106,Check!O191)))</f>
        <v/>
      </c>
      <c r="R191" s="212" t="str">
        <f t="shared" si="67"/>
        <v/>
      </c>
      <c r="S191" s="355" t="str">
        <f t="shared" si="37"/>
        <v/>
      </c>
    </row>
    <row r="192" spans="3:19">
      <c r="O192"/>
      <c r="P192" s="212" t="str">
        <f>IF(O192="","",IF(OR(LEFT(O192,4)="Cash",LEFT(O192,4)="Prov"),0,SUMIFS(Input_APM!N:N,Input_APM!L:L,Check!O192)))</f>
        <v/>
      </c>
      <c r="Q192" s="21" t="str">
        <f>IF(O192="","",IF(LEN(O192)&gt;9,SUMIFS(Options!$H$3:$H$32,Options!$B$3:$B$32,Check!O192),SUMIFS('Master P&amp;L'!$H$11:$H$106,'Master P&amp;L'!$B$11:$B$106,Check!O192)))</f>
        <v/>
      </c>
      <c r="R192" s="212" t="str">
        <f t="shared" si="67"/>
        <v/>
      </c>
      <c r="S192" s="355" t="str">
        <f t="shared" si="37"/>
        <v/>
      </c>
    </row>
    <row r="193" spans="15:19">
      <c r="O193"/>
      <c r="P193" s="212" t="str">
        <f>IF(O193="","",IF(OR(LEFT(O193,4)="Cash",LEFT(O193,4)="Prov"),0,SUMIFS(Input_APM!N:N,Input_APM!L:L,Check!O193)))</f>
        <v/>
      </c>
      <c r="Q193" s="21" t="str">
        <f>IF(O193="","",IF(LEN(O193)&gt;9,SUMIFS(Options!$H$3:$H$32,Options!$B$3:$B$32,Check!O193),SUMIFS('Master P&amp;L'!$H$11:$H$106,'Master P&amp;L'!$B$11:$B$106,Check!O193)))</f>
        <v/>
      </c>
      <c r="R193" s="212" t="str">
        <f t="shared" si="67"/>
        <v/>
      </c>
      <c r="S193" s="355" t="str">
        <f t="shared" si="37"/>
        <v/>
      </c>
    </row>
    <row r="194" spans="15:19">
      <c r="O194"/>
      <c r="P194" s="212" t="str">
        <f>IF(O194="","",IF(OR(LEFT(O194,4)="Cash",LEFT(O194,4)="Prov"),0,SUMIFS(Input_APM!N:N,Input_APM!L:L,Check!O194)))</f>
        <v/>
      </c>
      <c r="Q194" s="21" t="str">
        <f>IF(O194="","",IF(LEN(O194)&gt;9,SUMIFS(Options!$H$3:$H$32,Options!$B$3:$B$32,Check!O194),SUMIFS('Master P&amp;L'!$H$11:$H$106,'Master P&amp;L'!$B$11:$B$106,Check!O194)))</f>
        <v/>
      </c>
      <c r="R194" s="212" t="str">
        <f t="shared" si="67"/>
        <v/>
      </c>
      <c r="S194" s="355" t="str">
        <f t="shared" si="37"/>
        <v/>
      </c>
    </row>
    <row r="195" spans="15:19">
      <c r="O195"/>
      <c r="P195" s="212" t="str">
        <f>IF(O195="","",IF(OR(LEFT(O195,4)="Cash",LEFT(O195,4)="Prov"),0,SUMIFS(Input_APM!N:N,Input_APM!L:L,Check!O195)))</f>
        <v/>
      </c>
      <c r="Q195" s="21" t="str">
        <f>IF(O195="","",IF(LEN(O195)&gt;9,SUMIFS(Options!$H$3:$H$32,Options!$B$3:$B$32,Check!O195),SUMIFS('Master P&amp;L'!$H$11:$H$106,'Master P&amp;L'!$B$11:$B$106,Check!O195)))</f>
        <v/>
      </c>
      <c r="R195" s="212" t="str">
        <f t="shared" si="67"/>
        <v/>
      </c>
      <c r="S195" s="355" t="str">
        <f t="shared" si="37"/>
        <v/>
      </c>
    </row>
    <row r="196" spans="15:19">
      <c r="O196"/>
      <c r="P196" s="212" t="str">
        <f>IF(O196="","",IF(OR(LEFT(O196,4)="Cash",LEFT(O196,4)="Prov"),0,SUMIFS(Input_APM!N:N,Input_APM!L:L,Check!O196)))</f>
        <v/>
      </c>
      <c r="Q196" s="21" t="str">
        <f>IF(O196="","",IF(LEN(O196)&gt;9,SUMIFS(Options!$H$3:$H$32,Options!$B$3:$B$32,Check!O196),SUMIFS('Master P&amp;L'!$H$11:$H$106,'Master P&amp;L'!$B$11:$B$106,Check!O196)))</f>
        <v/>
      </c>
      <c r="R196" s="212" t="str">
        <f t="shared" si="67"/>
        <v/>
      </c>
      <c r="S196" s="355" t="str">
        <f t="shared" si="37"/>
        <v/>
      </c>
    </row>
    <row r="197" spans="15:19">
      <c r="O197"/>
      <c r="P197" s="212" t="str">
        <f>IF(O197="","",IF(OR(LEFT(O197,4)="Cash",LEFT(O197,4)="Prov"),0,SUMIFS(Input_APM!N:N,Input_APM!L:L,Check!O197)))</f>
        <v/>
      </c>
      <c r="Q197" s="21" t="str">
        <f>IF(O197="","",IF(LEN(O197)&gt;9,SUMIFS(Options!$H$3:$H$32,Options!$B$3:$B$32,Check!O197),SUMIFS('Master P&amp;L'!$H$11:$H$106,'Master P&amp;L'!$B$11:$B$106,Check!O197)))</f>
        <v/>
      </c>
      <c r="R197" s="212" t="str">
        <f t="shared" si="67"/>
        <v/>
      </c>
      <c r="S197" s="355" t="str">
        <f t="shared" si="37"/>
        <v/>
      </c>
    </row>
    <row r="198" spans="15:19">
      <c r="O198"/>
      <c r="P198" s="212" t="str">
        <f>IF(O198="","",IF(OR(LEFT(O198,4)="Cash",LEFT(O198,4)="Prov"),0,SUMIFS(Input_APM!N:N,Input_APM!L:L,Check!O198)))</f>
        <v/>
      </c>
      <c r="Q198" s="21" t="str">
        <f>IF(O198="","",IF(LEN(O198)&gt;9,SUMIFS(Options!$H$3:$H$32,Options!$B$3:$B$32,Check!O198),SUMIFS('Master P&amp;L'!$H$11:$H$106,'Master P&amp;L'!$B$11:$B$106,Check!O198)))</f>
        <v/>
      </c>
      <c r="R198" s="212" t="str">
        <f t="shared" si="67"/>
        <v/>
      </c>
      <c r="S198" s="355" t="str">
        <f t="shared" ref="S198:S206" si="68">IF(O198="","",IF((P198+Q198)=0,"Ok",IF(OR(P198=0,Q198=0),"Erro",P198/Q198)))</f>
        <v/>
      </c>
    </row>
    <row r="199" spans="15:19">
      <c r="O199"/>
      <c r="P199" s="212" t="str">
        <f>IF(O199="","",IF(OR(LEFT(O199,4)="Cash",LEFT(O199,4)="Prov"),0,SUMIFS(Input_APM!N:N,Input_APM!L:L,Check!O199)))</f>
        <v/>
      </c>
      <c r="Q199" s="21" t="str">
        <f>IF(O199="","",IF(LEN(O199)&gt;9,SUMIFS(Options!$H$3:$H$32,Options!$B$3:$B$32,Check!O199),SUMIFS('Master P&amp;L'!$H$11:$H$106,'Master P&amp;L'!$B$11:$B$106,Check!O199)))</f>
        <v/>
      </c>
      <c r="R199" s="212" t="str">
        <f t="shared" si="67"/>
        <v/>
      </c>
      <c r="S199" s="355" t="str">
        <f t="shared" si="68"/>
        <v/>
      </c>
    </row>
    <row r="200" spans="15:19">
      <c r="O200"/>
      <c r="P200" s="212" t="str">
        <f>IF(O200="","",IF(OR(LEFT(O200,4)="Cash",LEFT(O200,4)="Prov"),0,SUMIFS(Input_APM!N:N,Input_APM!L:L,Check!O200)))</f>
        <v/>
      </c>
      <c r="Q200" s="21" t="str">
        <f>IF(O200="","",IF(LEN(O200)&gt;9,SUMIFS(Options!$H$3:$H$32,Options!$B$3:$B$32,Check!O200),SUMIFS('Master P&amp;L'!$H$11:$H$106,'Master P&amp;L'!$B$11:$B$106,Check!O200)))</f>
        <v/>
      </c>
      <c r="R200" s="212" t="str">
        <f t="shared" si="67"/>
        <v/>
      </c>
      <c r="S200" s="355" t="str">
        <f t="shared" si="68"/>
        <v/>
      </c>
    </row>
    <row r="201" spans="15:19">
      <c r="O201"/>
      <c r="P201" s="212" t="str">
        <f>IF(O201="","",IF(OR(LEFT(O201,4)="Cash",LEFT(O201,4)="Prov"),0,SUMIFS(Input_APM!N:N,Input_APM!L:L,Check!O201)))</f>
        <v/>
      </c>
      <c r="Q201" s="21" t="str">
        <f>IF(O201="","",IF(LEN(O201)&gt;9,SUMIFS(Options!$H$3:$H$32,Options!$B$3:$B$32,Check!O201),SUMIFS('Master P&amp;L'!$H$11:$H$106,'Master P&amp;L'!$B$11:$B$106,Check!O201)))</f>
        <v/>
      </c>
      <c r="R201" s="212" t="str">
        <f t="shared" si="67"/>
        <v/>
      </c>
      <c r="S201" s="355" t="str">
        <f t="shared" si="68"/>
        <v/>
      </c>
    </row>
    <row r="202" spans="15:19">
      <c r="O202"/>
      <c r="P202" s="212" t="str">
        <f>IF(O202="","",IF(OR(LEFT(O202,4)="Cash",LEFT(O202,4)="Prov"),0,SUMIFS(Input_APM!N:N,Input_APM!L:L,Check!O202)))</f>
        <v/>
      </c>
      <c r="Q202" s="21" t="str">
        <f>IF(O202="","",IF(LEN(O202)&gt;9,SUMIFS(Options!$H$3:$H$32,Options!$B$3:$B$32,Check!O202),SUMIFS('Master P&amp;L'!$H$11:$H$106,'Master P&amp;L'!$B$11:$B$106,Check!O202)))</f>
        <v/>
      </c>
      <c r="R202" s="212" t="str">
        <f t="shared" si="67"/>
        <v/>
      </c>
      <c r="S202" s="355" t="str">
        <f t="shared" si="68"/>
        <v/>
      </c>
    </row>
    <row r="203" spans="15:19">
      <c r="O203"/>
      <c r="P203" s="212" t="str">
        <f>IF(O203="","",IF(OR(LEFT(O203,4)="Cash",LEFT(O203,4)="Prov"),0,SUMIFS(Input_APM!N:N,Input_APM!L:L,Check!O203)))</f>
        <v/>
      </c>
      <c r="Q203" s="21" t="str">
        <f>IF(O203="","",IF(LEN(O203)&gt;9,SUMIFS(Options!$H$3:$H$32,Options!$B$3:$B$32,Check!O203),SUMIFS('Master P&amp;L'!$H$11:$H$106,'Master P&amp;L'!$B$11:$B$106,Check!O203)))</f>
        <v/>
      </c>
      <c r="R203" s="212" t="str">
        <f t="shared" si="67"/>
        <v/>
      </c>
      <c r="S203" s="355" t="str">
        <f t="shared" si="68"/>
        <v/>
      </c>
    </row>
    <row r="204" spans="15:19">
      <c r="O204"/>
      <c r="P204" s="212" t="str">
        <f>IF(O204="","",IF(OR(LEFT(O204,4)="Cash",LEFT(O204,4)="Prov"),0,SUMIFS(Input_APM!N:N,Input_APM!L:L,Check!O204)))</f>
        <v/>
      </c>
      <c r="Q204" s="21" t="str">
        <f>IF(O204="","",IF(LEN(O204)&gt;9,SUMIFS(Options!$H$3:$H$32,Options!$B$3:$B$32,Check!O204),SUMIFS('Master P&amp;L'!$H$11:$H$106,'Master P&amp;L'!$B$11:$B$106,Check!O204)))</f>
        <v/>
      </c>
      <c r="R204" s="212" t="str">
        <f t="shared" si="67"/>
        <v/>
      </c>
      <c r="S204" s="355" t="str">
        <f t="shared" si="68"/>
        <v/>
      </c>
    </row>
    <row r="205" spans="15:19">
      <c r="O205"/>
      <c r="P205" s="212" t="str">
        <f>IF(O205="","",IF(OR(LEFT(O205,4)="Cash",LEFT(O205,4)="Prov"),0,SUMIFS(Input_APM!N:N,Input_APM!L:L,Check!O205)))</f>
        <v/>
      </c>
      <c r="Q205" s="21" t="str">
        <f>IF(O205="","",IF(LEN(O205)&gt;9,SUMIFS(Options!$H$3:$H$32,Options!$B$3:$B$32,Check!O205),SUMIFS('Master P&amp;L'!$H$11:$H$106,'Master P&amp;L'!$B$11:$B$106,Check!O205)))</f>
        <v/>
      </c>
      <c r="R205" s="212" t="str">
        <f t="shared" si="67"/>
        <v/>
      </c>
      <c r="S205" s="355" t="str">
        <f t="shared" si="68"/>
        <v/>
      </c>
    </row>
    <row r="206" spans="15:19">
      <c r="O206"/>
      <c r="P206" s="212" t="str">
        <f>IF(O206="","",IF(OR(LEFT(O206,4)="Cash",LEFT(O206,4)="Prov"),0,SUMIFS(Input_APM!N:N,Input_APM!L:L,Check!O206)))</f>
        <v/>
      </c>
      <c r="Q206" s="21" t="str">
        <f>IF(O206="","",IF(LEN(O206)&gt;9,SUMIFS(Options!$H$3:$H$32,Options!$B$3:$B$32,Check!O206),SUMIFS('Master P&amp;L'!$H$11:$H$106,'Master P&amp;L'!$B$11:$B$106,Check!O206)))</f>
        <v/>
      </c>
      <c r="R206" s="212" t="str">
        <f>IF(O206="","",P206-Q206)</f>
        <v/>
      </c>
      <c r="S206" s="355" t="str">
        <f t="shared" si="68"/>
        <v/>
      </c>
    </row>
    <row r="207" spans="15:19">
      <c r="O207"/>
    </row>
    <row r="208" spans="15:19">
      <c r="O208"/>
    </row>
    <row r="209" spans="15:15">
      <c r="O209"/>
    </row>
    <row r="210" spans="15:15">
      <c r="O210"/>
    </row>
    <row r="211" spans="15:15">
      <c r="O211"/>
    </row>
    <row r="212" spans="15:15">
      <c r="O212"/>
    </row>
    <row r="213" spans="15:15">
      <c r="O213"/>
    </row>
    <row r="214" spans="15:15">
      <c r="O214"/>
    </row>
    <row r="215" spans="15:15">
      <c r="O215"/>
    </row>
    <row r="216" spans="15:15">
      <c r="O216"/>
    </row>
    <row r="217" spans="15:15">
      <c r="O217"/>
    </row>
    <row r="218" spans="15:15">
      <c r="O218"/>
    </row>
    <row r="219" spans="15:15">
      <c r="O219"/>
    </row>
    <row r="220" spans="15:15">
      <c r="O220"/>
    </row>
    <row r="221" spans="15:15">
      <c r="O221"/>
    </row>
    <row r="222" spans="15:15">
      <c r="O222"/>
    </row>
    <row r="223" spans="15:15">
      <c r="O223"/>
    </row>
    <row r="224" spans="15:15">
      <c r="O224"/>
    </row>
    <row r="225" spans="15:15">
      <c r="O225"/>
    </row>
    <row r="226" spans="15:15">
      <c r="O226"/>
    </row>
    <row r="227" spans="15:15">
      <c r="O227"/>
    </row>
    <row r="228" spans="15:15">
      <c r="O228"/>
    </row>
    <row r="229" spans="15:15">
      <c r="O229"/>
    </row>
    <row r="230" spans="15:15">
      <c r="O230"/>
    </row>
    <row r="231" spans="15:15">
      <c r="O231"/>
    </row>
    <row r="232" spans="15:15">
      <c r="O232"/>
    </row>
    <row r="233" spans="15:15">
      <c r="O233"/>
    </row>
    <row r="234" spans="15:15">
      <c r="O234"/>
    </row>
    <row r="235" spans="15:15">
      <c r="O235"/>
    </row>
    <row r="236" spans="15:15">
      <c r="O236"/>
    </row>
    <row r="237" spans="15:15">
      <c r="O237"/>
    </row>
    <row r="238" spans="15:15">
      <c r="O238"/>
    </row>
    <row r="239" spans="15:15">
      <c r="O239"/>
    </row>
    <row r="240" spans="15:15">
      <c r="O240"/>
    </row>
    <row r="241" spans="15:15">
      <c r="O241"/>
    </row>
    <row r="242" spans="15:15">
      <c r="O242"/>
    </row>
    <row r="243" spans="15:15">
      <c r="O243"/>
    </row>
    <row r="244" spans="15:15">
      <c r="O244"/>
    </row>
    <row r="245" spans="15:15">
      <c r="O245"/>
    </row>
    <row r="246" spans="15:15">
      <c r="O246"/>
    </row>
    <row r="247" spans="15:15">
      <c r="O247"/>
    </row>
    <row r="248" spans="15:15">
      <c r="O248"/>
    </row>
    <row r="249" spans="15:15">
      <c r="O249"/>
    </row>
    <row r="250" spans="15:15">
      <c r="O250"/>
    </row>
    <row r="251" spans="15:15">
      <c r="O251"/>
    </row>
    <row r="252" spans="15:15">
      <c r="O252"/>
    </row>
    <row r="253" spans="15:15">
      <c r="O253"/>
    </row>
    <row r="254" spans="15:15">
      <c r="O254"/>
    </row>
    <row r="255" spans="15:15">
      <c r="O255"/>
    </row>
    <row r="256" spans="15:15">
      <c r="O256"/>
    </row>
    <row r="257" spans="15:15">
      <c r="O257"/>
    </row>
    <row r="258" spans="15:15">
      <c r="O258"/>
    </row>
    <row r="259" spans="15:15">
      <c r="O259"/>
    </row>
    <row r="260" spans="15:15">
      <c r="O260"/>
    </row>
    <row r="261" spans="15:15">
      <c r="O261"/>
    </row>
    <row r="262" spans="15:15">
      <c r="O262"/>
    </row>
    <row r="263" spans="15:15">
      <c r="O263"/>
    </row>
    <row r="264" spans="15:15">
      <c r="O264"/>
    </row>
    <row r="265" spans="15:15">
      <c r="O265"/>
    </row>
    <row r="266" spans="15:15">
      <c r="O266"/>
    </row>
    <row r="267" spans="15:15">
      <c r="O267"/>
    </row>
    <row r="268" spans="15:15">
      <c r="O268"/>
    </row>
    <row r="269" spans="15:15">
      <c r="O269"/>
    </row>
    <row r="270" spans="15:15">
      <c r="O270"/>
    </row>
    <row r="271" spans="15:15">
      <c r="O271"/>
    </row>
    <row r="272" spans="15:15">
      <c r="O272"/>
    </row>
    <row r="273" spans="15:15">
      <c r="O273"/>
    </row>
    <row r="274" spans="15:15">
      <c r="O274"/>
    </row>
    <row r="275" spans="15:15">
      <c r="O275"/>
    </row>
    <row r="276" spans="15:15">
      <c r="O276"/>
    </row>
    <row r="277" spans="15:15">
      <c r="O277"/>
    </row>
    <row r="278" spans="15:15">
      <c r="O278"/>
    </row>
    <row r="279" spans="15:15">
      <c r="O279"/>
    </row>
    <row r="280" spans="15:15">
      <c r="O280"/>
    </row>
    <row r="281" spans="15:15">
      <c r="O281"/>
    </row>
    <row r="282" spans="15:15">
      <c r="O282"/>
    </row>
    <row r="283" spans="15:15">
      <c r="O283"/>
    </row>
    <row r="284" spans="15:15">
      <c r="O284"/>
    </row>
    <row r="285" spans="15:15">
      <c r="O285"/>
    </row>
    <row r="286" spans="15:15">
      <c r="O286"/>
    </row>
    <row r="287" spans="15:15">
      <c r="O287"/>
    </row>
    <row r="288" spans="15:15">
      <c r="O288"/>
    </row>
    <row r="289" spans="15:15">
      <c r="O289"/>
    </row>
    <row r="290" spans="15:15">
      <c r="O290"/>
    </row>
    <row r="291" spans="15:15">
      <c r="O291"/>
    </row>
    <row r="292" spans="15:15">
      <c r="O292"/>
    </row>
    <row r="293" spans="15:15">
      <c r="O293"/>
    </row>
    <row r="294" spans="15:15">
      <c r="O294"/>
    </row>
    <row r="295" spans="15:15">
      <c r="O295"/>
    </row>
    <row r="296" spans="15:15">
      <c r="O296"/>
    </row>
    <row r="297" spans="15:15">
      <c r="O297"/>
    </row>
    <row r="298" spans="15:15">
      <c r="O298"/>
    </row>
    <row r="299" spans="15:15">
      <c r="O299"/>
    </row>
    <row r="300" spans="15:15">
      <c r="O300"/>
    </row>
    <row r="301" spans="15:15">
      <c r="O301"/>
    </row>
    <row r="302" spans="15:15">
      <c r="O302"/>
    </row>
    <row r="303" spans="15:15">
      <c r="O303"/>
    </row>
    <row r="304" spans="15:15">
      <c r="O304"/>
    </row>
    <row r="305" spans="15:15">
      <c r="O305"/>
    </row>
    <row r="306" spans="15:15">
      <c r="O306"/>
    </row>
    <row r="307" spans="15:15">
      <c r="O307"/>
    </row>
    <row r="308" spans="15:15">
      <c r="O308"/>
    </row>
    <row r="309" spans="15:15">
      <c r="O309"/>
    </row>
    <row r="310" spans="15:15">
      <c r="O310"/>
    </row>
    <row r="311" spans="15:15">
      <c r="O311"/>
    </row>
    <row r="312" spans="15:15">
      <c r="O312"/>
    </row>
    <row r="313" spans="15:15">
      <c r="O313"/>
    </row>
    <row r="314" spans="15:15">
      <c r="O314"/>
    </row>
    <row r="315" spans="15:15">
      <c r="O315"/>
    </row>
    <row r="316" spans="15:15">
      <c r="O316"/>
    </row>
    <row r="317" spans="15:15">
      <c r="O317"/>
    </row>
    <row r="318" spans="15:15">
      <c r="O318"/>
    </row>
    <row r="319" spans="15:15">
      <c r="O319"/>
    </row>
    <row r="320" spans="15:15">
      <c r="O320"/>
    </row>
    <row r="321" spans="15:15">
      <c r="O321"/>
    </row>
    <row r="322" spans="15:15">
      <c r="O322"/>
    </row>
    <row r="323" spans="15:15">
      <c r="O323"/>
    </row>
    <row r="324" spans="15:15">
      <c r="O324"/>
    </row>
    <row r="325" spans="15:15">
      <c r="O325"/>
    </row>
    <row r="326" spans="15:15">
      <c r="O326"/>
    </row>
    <row r="327" spans="15:15">
      <c r="O327"/>
    </row>
    <row r="328" spans="15:15">
      <c r="O328"/>
    </row>
    <row r="329" spans="15:15">
      <c r="O329"/>
    </row>
    <row r="330" spans="15:15">
      <c r="O330"/>
    </row>
    <row r="331" spans="15:15">
      <c r="O331"/>
    </row>
    <row r="332" spans="15:15">
      <c r="O332"/>
    </row>
    <row r="333" spans="15:15">
      <c r="O333"/>
    </row>
    <row r="334" spans="15:15">
      <c r="O334"/>
    </row>
    <row r="335" spans="15:15">
      <c r="O335"/>
    </row>
    <row r="336" spans="15:15">
      <c r="O336"/>
    </row>
    <row r="337" spans="15:15">
      <c r="O337"/>
    </row>
    <row r="338" spans="15:15">
      <c r="O338"/>
    </row>
    <row r="339" spans="15:15">
      <c r="O339"/>
    </row>
    <row r="340" spans="15:15">
      <c r="O340"/>
    </row>
    <row r="341" spans="15:15">
      <c r="O341"/>
    </row>
    <row r="342" spans="15:15">
      <c r="O342"/>
    </row>
    <row r="343" spans="15:15">
      <c r="O343"/>
    </row>
    <row r="344" spans="15:15">
      <c r="O344"/>
    </row>
    <row r="345" spans="15:15">
      <c r="O345"/>
    </row>
    <row r="346" spans="15:15">
      <c r="O346"/>
    </row>
    <row r="347" spans="15:15">
      <c r="O347"/>
    </row>
    <row r="348" spans="15:15">
      <c r="O348"/>
    </row>
    <row r="349" spans="15:15">
      <c r="O349"/>
    </row>
    <row r="350" spans="15:15">
      <c r="O350"/>
    </row>
    <row r="351" spans="15:15">
      <c r="O351"/>
    </row>
    <row r="352" spans="15:15">
      <c r="O352"/>
    </row>
    <row r="353" spans="15:15">
      <c r="O353"/>
    </row>
    <row r="354" spans="15:15">
      <c r="O354"/>
    </row>
    <row r="355" spans="15:15">
      <c r="O355"/>
    </row>
    <row r="356" spans="15:15">
      <c r="O356"/>
    </row>
    <row r="357" spans="15:15">
      <c r="O357"/>
    </row>
    <row r="358" spans="15:15">
      <c r="O358"/>
    </row>
    <row r="359" spans="15:15">
      <c r="O359"/>
    </row>
    <row r="360" spans="15:15">
      <c r="O360"/>
    </row>
    <row r="361" spans="15:15">
      <c r="O361"/>
    </row>
    <row r="362" spans="15:15">
      <c r="O362"/>
    </row>
    <row r="363" spans="15:15">
      <c r="O363"/>
    </row>
    <row r="364" spans="15:15">
      <c r="O364"/>
    </row>
    <row r="365" spans="15:15">
      <c r="O365"/>
    </row>
    <row r="366" spans="15:15">
      <c r="O366"/>
    </row>
    <row r="367" spans="15:15">
      <c r="O367"/>
    </row>
    <row r="368" spans="15:15">
      <c r="O368"/>
    </row>
    <row r="369" spans="15:15">
      <c r="O369"/>
    </row>
    <row r="370" spans="15:15">
      <c r="O370"/>
    </row>
    <row r="371" spans="15:15">
      <c r="O371"/>
    </row>
    <row r="372" spans="15:15">
      <c r="O372"/>
    </row>
    <row r="373" spans="15:15">
      <c r="O373"/>
    </row>
    <row r="374" spans="15:15">
      <c r="O374"/>
    </row>
    <row r="375" spans="15:15">
      <c r="O375"/>
    </row>
    <row r="376" spans="15:15">
      <c r="O376"/>
    </row>
    <row r="377" spans="15:15">
      <c r="O377"/>
    </row>
    <row r="378" spans="15:15">
      <c r="O378"/>
    </row>
    <row r="379" spans="15:15">
      <c r="O379"/>
    </row>
    <row r="380" spans="15:15">
      <c r="O380"/>
    </row>
    <row r="381" spans="15:15">
      <c r="O381"/>
    </row>
    <row r="382" spans="15:15">
      <c r="O382"/>
    </row>
    <row r="383" spans="15:15">
      <c r="O383"/>
    </row>
    <row r="384" spans="15:15">
      <c r="O384"/>
    </row>
    <row r="385" spans="15:15">
      <c r="O385"/>
    </row>
    <row r="386" spans="15:15">
      <c r="O386"/>
    </row>
    <row r="387" spans="15:15">
      <c r="O387"/>
    </row>
    <row r="388" spans="15:15">
      <c r="O388"/>
    </row>
    <row r="389" spans="15:15">
      <c r="O389"/>
    </row>
    <row r="390" spans="15:15">
      <c r="O390"/>
    </row>
    <row r="391" spans="15:15">
      <c r="O391"/>
    </row>
    <row r="392" spans="15:15">
      <c r="O392"/>
    </row>
    <row r="393" spans="15:15">
      <c r="O393"/>
    </row>
    <row r="394" spans="15:15">
      <c r="O394"/>
    </row>
    <row r="395" spans="15:15">
      <c r="O395"/>
    </row>
    <row r="396" spans="15:15">
      <c r="O396"/>
    </row>
    <row r="397" spans="15:15">
      <c r="O397"/>
    </row>
    <row r="398" spans="15:15">
      <c r="O398"/>
    </row>
    <row r="399" spans="15:15">
      <c r="O399"/>
    </row>
    <row r="400" spans="15:15">
      <c r="O400"/>
    </row>
  </sheetData>
  <autoFilter ref="A4:V190" xr:uid="{932C9680-8A17-4F57-93E3-0C8EAAA0B9D1}"/>
  <conditionalFormatting sqref="J5:J191">
    <cfRule type="expression" dxfId="47" priority="4">
      <formula>J5&lt;&gt;0</formula>
    </cfRule>
  </conditionalFormatting>
  <conditionalFormatting sqref="E5:E191">
    <cfRule type="expression" dxfId="46" priority="3">
      <formula>E5&lt;&gt;0</formula>
    </cfRule>
  </conditionalFormatting>
  <conditionalFormatting sqref="S5:S206">
    <cfRule type="cellIs" dxfId="45" priority="2" operator="lessThan">
      <formula>0.9</formula>
    </cfRule>
  </conditionalFormatting>
  <conditionalFormatting sqref="S5:S198">
    <cfRule type="expression" dxfId="44" priority="1">
      <formula>S5="Erro"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copiar_trades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72072-B23C-439A-8B65-10BB2C0A9065}">
  <sheetPr codeName="Sheet13">
    <tabColor theme="5" tint="0.79998168889431442"/>
  </sheetPr>
  <dimension ref="E1:O580"/>
  <sheetViews>
    <sheetView showGridLines="0" zoomScale="85" zoomScaleNormal="85" workbookViewId="0">
      <selection activeCell="E1" sqref="E1:I78"/>
    </sheetView>
  </sheetViews>
  <sheetFormatPr defaultColWidth="9.140625" defaultRowHeight="12.75" outlineLevelCol="1"/>
  <cols>
    <col min="1" max="4" width="9.140625" style="208"/>
    <col min="5" max="5" width="31.7109375" style="208" bestFit="1" customWidth="1" outlineLevel="1"/>
    <col min="6" max="6" width="43.5703125" style="208" bestFit="1" customWidth="1" outlineLevel="1"/>
    <col min="7" max="7" width="24.42578125" style="208" bestFit="1" customWidth="1" outlineLevel="1"/>
    <col min="8" max="9" width="12.85546875" style="208" bestFit="1" customWidth="1" outlineLevel="1"/>
    <col min="10" max="10" width="9.140625" style="208"/>
    <col min="11" max="11" width="28.5703125" style="208" bestFit="1" customWidth="1"/>
    <col min="12" max="12" width="41.85546875" style="208" bestFit="1" customWidth="1"/>
    <col min="13" max="13" width="22.140625" style="208" bestFit="1" customWidth="1"/>
    <col min="14" max="14" width="13.42578125" style="208" bestFit="1" customWidth="1"/>
    <col min="15" max="15" width="16.28515625" style="208" bestFit="1" customWidth="1"/>
    <col min="16" max="16384" width="9.140625" style="208"/>
  </cols>
  <sheetData>
    <row r="1" spans="5:15">
      <c r="E1" s="208" t="s">
        <v>312</v>
      </c>
      <c r="F1" s="208" t="s">
        <v>174</v>
      </c>
      <c r="G1" s="208" t="s">
        <v>313</v>
      </c>
      <c r="H1" s="208" t="s">
        <v>293</v>
      </c>
      <c r="I1" s="208" t="s">
        <v>314</v>
      </c>
      <c r="K1" s="224" t="s">
        <v>312</v>
      </c>
      <c r="L1" s="224" t="s">
        <v>174</v>
      </c>
      <c r="M1" s="224" t="s">
        <v>313</v>
      </c>
      <c r="N1" s="224" t="s">
        <v>293</v>
      </c>
      <c r="O1" s="224" t="s">
        <v>314</v>
      </c>
    </row>
    <row r="2" spans="5:15">
      <c r="E2" s="208" t="s">
        <v>2475</v>
      </c>
      <c r="F2" s="208" t="s">
        <v>2450</v>
      </c>
      <c r="G2" s="208" t="s">
        <v>282</v>
      </c>
      <c r="H2" s="208">
        <v>0</v>
      </c>
      <c r="I2" s="208">
        <v>0</v>
      </c>
      <c r="K2" s="209" t="str">
        <f>IF(E2="","",E2)</f>
        <v>NASDAQ-100 E-mini Options - CME</v>
      </c>
      <c r="L2" s="209" t="str">
        <f>IF(E2="","",IF(COUNTIFS(Table2[[#All],[De (Lote)]],Input_APM!F2)&gt;0,INDEX(Table2[[#All],[Para (Ticker Daniel)]],MATCH(Input_APM!F2,Table2[[#All],[De (Lote)]],0)),Input_APM!F2))</f>
        <v>1OG6P 25000</v>
      </c>
      <c r="M2" s="209" t="str">
        <f>IF(E2="","",G2)</f>
        <v>EQTY.IntlUS.off</v>
      </c>
      <c r="N2" s="210">
        <f>IF(E2="","",H2)</f>
        <v>0</v>
      </c>
      <c r="O2" s="210">
        <f>IF(E2="","",I2)</f>
        <v>0</v>
      </c>
    </row>
    <row r="3" spans="5:15">
      <c r="E3" s="208" t="s">
        <v>2475</v>
      </c>
      <c r="F3" s="208" t="s">
        <v>2469</v>
      </c>
      <c r="G3" s="208" t="s">
        <v>282</v>
      </c>
      <c r="H3" s="208">
        <v>18</v>
      </c>
      <c r="I3" s="208">
        <v>0</v>
      </c>
      <c r="K3" s="209" t="str">
        <f t="shared" ref="K3:K66" si="0">IF(E3="","",E3)</f>
        <v>NASDAQ-100 E-mini Options - CME</v>
      </c>
      <c r="L3" s="209" t="str">
        <f>IF(E3="","",IF(COUNTIFS(Table2[[#All],[De (Lote)]],Input_APM!F3)&gt;0,INDEX(Table2[[#All],[Para (Ticker Daniel)]],MATCH(Input_APM!F3,Table2[[#All],[De (Lote)]],0)),Input_APM!F3))</f>
        <v>1OG6P 25750</v>
      </c>
      <c r="M3" s="209" t="str">
        <f t="shared" ref="M3:M66" si="1">IF(E3="","",G3)</f>
        <v>EQTY.IntlUS.off</v>
      </c>
      <c r="N3" s="210">
        <f t="shared" ref="N3:N66" si="2">IF(E3="","",H3)</f>
        <v>18</v>
      </c>
      <c r="O3" s="210">
        <f t="shared" ref="O3:O66" si="3">IF(E3="","",I3)</f>
        <v>0</v>
      </c>
    </row>
    <row r="4" spans="5:15">
      <c r="E4" s="208" t="s">
        <v>317</v>
      </c>
      <c r="F4" s="208" t="s">
        <v>79</v>
      </c>
      <c r="G4" s="208" t="s">
        <v>282</v>
      </c>
      <c r="H4" s="208">
        <v>2816</v>
      </c>
      <c r="I4" s="208">
        <v>0</v>
      </c>
      <c r="K4" s="209" t="str">
        <f t="shared" si="0"/>
        <v>US Equity</v>
      </c>
      <c r="L4" s="209" t="str">
        <f>IF(E4="","",IF(COUNTIFS(Table2[[#All],[De (Lote)]],Input_APM!F4)&gt;0,INDEX(Table2[[#All],[Para (Ticker Daniel)]],MATCH(Input_APM!F4,Table2[[#All],[De (Lote)]],0)),Input_APM!F4))</f>
        <v>AAPL</v>
      </c>
      <c r="M4" s="209" t="str">
        <f t="shared" si="1"/>
        <v>EQTY.IntlUS.off</v>
      </c>
      <c r="N4" s="210">
        <f t="shared" si="2"/>
        <v>2816</v>
      </c>
      <c r="O4" s="210">
        <f t="shared" si="3"/>
        <v>0</v>
      </c>
    </row>
    <row r="5" spans="5:15">
      <c r="E5" s="208" t="s">
        <v>319</v>
      </c>
      <c r="F5" s="208" t="s">
        <v>2445</v>
      </c>
      <c r="G5" s="208" t="s">
        <v>282</v>
      </c>
      <c r="H5" s="208">
        <v>329</v>
      </c>
      <c r="I5" s="208">
        <v>329</v>
      </c>
      <c r="K5" s="209" t="str">
        <f t="shared" si="0"/>
        <v>US Equity Options</v>
      </c>
      <c r="L5" s="209" t="str">
        <f>IF(E5="","",IF(COUNTIFS(Table2[[#All],[De (Lote)]],Input_APM!F5)&gt;0,INDEX(Table2[[#All],[Para (Ticker Daniel)]],MATCH(Input_APM!F5,Table2[[#All],[De (Lote)]],0)),Input_APM!F5))</f>
        <v>AAPL US 04/17/26 C260</v>
      </c>
      <c r="M5" s="209" t="str">
        <f t="shared" si="1"/>
        <v>EQTY.IntlUS.off</v>
      </c>
      <c r="N5" s="210">
        <f t="shared" si="2"/>
        <v>329</v>
      </c>
      <c r="O5" s="210">
        <f t="shared" si="3"/>
        <v>329</v>
      </c>
    </row>
    <row r="6" spans="5:15">
      <c r="E6" s="208" t="s">
        <v>319</v>
      </c>
      <c r="F6" s="208" t="s">
        <v>2446</v>
      </c>
      <c r="G6" s="208" t="s">
        <v>282</v>
      </c>
      <c r="H6" s="208">
        <v>-329</v>
      </c>
      <c r="I6" s="208">
        <v>-329</v>
      </c>
      <c r="K6" s="209" t="str">
        <f t="shared" si="0"/>
        <v>US Equity Options</v>
      </c>
      <c r="L6" s="209" t="str">
        <f>IF(E6="","",IF(COUNTIFS(Table2[[#All],[De (Lote)]],Input_APM!F6)&gt;0,INDEX(Table2[[#All],[Para (Ticker Daniel)]],MATCH(Input_APM!F6,Table2[[#All],[De (Lote)]],0)),Input_APM!F6))</f>
        <v>AAPL US 04/17/26 C280</v>
      </c>
      <c r="M6" s="209" t="str">
        <f t="shared" si="1"/>
        <v>EQTY.IntlUS.off</v>
      </c>
      <c r="N6" s="210">
        <f t="shared" si="2"/>
        <v>-329</v>
      </c>
      <c r="O6" s="210">
        <f t="shared" si="3"/>
        <v>-329</v>
      </c>
    </row>
    <row r="7" spans="5:15">
      <c r="E7" s="208" t="s">
        <v>317</v>
      </c>
      <c r="F7" s="208" t="s">
        <v>2353</v>
      </c>
      <c r="G7" s="208" t="s">
        <v>282</v>
      </c>
      <c r="H7" s="208">
        <v>7238</v>
      </c>
      <c r="I7" s="208">
        <v>7129</v>
      </c>
      <c r="K7" s="209" t="str">
        <f t="shared" si="0"/>
        <v>US Equity</v>
      </c>
      <c r="L7" s="209" t="str">
        <f>IF(E7="","",IF(COUNTIFS(Table2[[#All],[De (Lote)]],Input_APM!F7)&gt;0,INDEX(Table2[[#All],[Para (Ticker Daniel)]],MATCH(Input_APM!F7,Table2[[#All],[De (Lote)]],0)),Input_APM!F7))</f>
        <v>AKAM</v>
      </c>
      <c r="M7" s="209" t="str">
        <f t="shared" si="1"/>
        <v>EQTY.IntlUS.off</v>
      </c>
      <c r="N7" s="210">
        <f t="shared" si="2"/>
        <v>7238</v>
      </c>
      <c r="O7" s="210">
        <f t="shared" si="3"/>
        <v>7129</v>
      </c>
    </row>
    <row r="8" spans="5:15">
      <c r="E8" s="208" t="s">
        <v>317</v>
      </c>
      <c r="F8" s="208" t="s">
        <v>399</v>
      </c>
      <c r="G8" s="208" t="s">
        <v>282</v>
      </c>
      <c r="H8" s="208">
        <v>13772</v>
      </c>
      <c r="I8" s="208">
        <v>15307</v>
      </c>
      <c r="K8" s="209" t="str">
        <f t="shared" si="0"/>
        <v>US Equity</v>
      </c>
      <c r="L8" s="209" t="str">
        <f>IF(E8="","",IF(COUNTIFS(Table2[[#All],[De (Lote)]],Input_APM!F8)&gt;0,INDEX(Table2[[#All],[Para (Ticker Daniel)]],MATCH(Input_APM!F8,Table2[[#All],[De (Lote)]],0)),Input_APM!F8))</f>
        <v>AMZN</v>
      </c>
      <c r="M8" s="209" t="str">
        <f t="shared" si="1"/>
        <v>EQTY.IntlUS.off</v>
      </c>
      <c r="N8" s="210">
        <f t="shared" si="2"/>
        <v>13772</v>
      </c>
      <c r="O8" s="210">
        <f t="shared" si="3"/>
        <v>15307</v>
      </c>
    </row>
    <row r="9" spans="5:15">
      <c r="E9" s="208" t="s">
        <v>320</v>
      </c>
      <c r="F9" s="208" t="s">
        <v>38</v>
      </c>
      <c r="G9" s="208" t="s">
        <v>282</v>
      </c>
      <c r="H9" s="208">
        <v>19706</v>
      </c>
      <c r="I9" s="208">
        <v>19706</v>
      </c>
      <c r="K9" s="209" t="str">
        <f t="shared" si="0"/>
        <v>ETF</v>
      </c>
      <c r="L9" s="209" t="str">
        <f>IF(E9="","",IF(COUNTIFS(Table2[[#All],[De (Lote)]],Input_APM!F9)&gt;0,INDEX(Table2[[#All],[Para (Ticker Daniel)]],MATCH(Input_APM!F9,Table2[[#All],[De (Lote)]],0)),Input_APM!F9))</f>
        <v>ASHR</v>
      </c>
      <c r="M9" s="209" t="str">
        <f t="shared" si="1"/>
        <v>EQTY.IntlUS.off</v>
      </c>
      <c r="N9" s="210">
        <f t="shared" si="2"/>
        <v>19706</v>
      </c>
      <c r="O9" s="210">
        <f t="shared" si="3"/>
        <v>19706</v>
      </c>
    </row>
    <row r="10" spans="5:15">
      <c r="E10" s="208" t="s">
        <v>324</v>
      </c>
      <c r="F10" s="208" t="s">
        <v>2224</v>
      </c>
      <c r="G10" s="208" t="s">
        <v>282</v>
      </c>
      <c r="H10" s="208">
        <v>935</v>
      </c>
      <c r="I10" s="208">
        <v>935</v>
      </c>
      <c r="K10" s="209" t="str">
        <f t="shared" si="0"/>
        <v>ETF Options</v>
      </c>
      <c r="L10" s="209" t="str">
        <f>IF(E10="","",IF(COUNTIFS(Table2[[#All],[De (Lote)]],Input_APM!F10)&gt;0,INDEX(Table2[[#All],[Para (Ticker Daniel)]],MATCH(Input_APM!F10,Table2[[#All],[De (Lote)]],0)),Input_APM!F10))</f>
        <v>ASHR US 02/20/26 C35</v>
      </c>
      <c r="M10" s="209" t="str">
        <f t="shared" si="1"/>
        <v>EQTY.IntlUS.off</v>
      </c>
      <c r="N10" s="210">
        <f t="shared" si="2"/>
        <v>935</v>
      </c>
      <c r="O10" s="210">
        <f t="shared" si="3"/>
        <v>935</v>
      </c>
    </row>
    <row r="11" spans="5:15">
      <c r="E11" s="208" t="s">
        <v>317</v>
      </c>
      <c r="F11" s="208" t="s">
        <v>137</v>
      </c>
      <c r="G11" s="208" t="s">
        <v>282</v>
      </c>
      <c r="H11" s="208">
        <v>0</v>
      </c>
      <c r="I11" s="208">
        <v>1409</v>
      </c>
      <c r="K11" s="209" t="str">
        <f t="shared" si="0"/>
        <v>US Equity</v>
      </c>
      <c r="L11" s="209" t="str">
        <f>IF(E11="","",IF(COUNTIFS(Table2[[#All],[De (Lote)]],Input_APM!F11)&gt;0,INDEX(Table2[[#All],[Para (Ticker Daniel)]],MATCH(Input_APM!F11,Table2[[#All],[De (Lote)]],0)),Input_APM!F11))</f>
        <v>AVGO</v>
      </c>
      <c r="M11" s="209" t="str">
        <f t="shared" si="1"/>
        <v>EQTY.IntlUS.off</v>
      </c>
      <c r="N11" s="210">
        <f t="shared" si="2"/>
        <v>0</v>
      </c>
      <c r="O11" s="210">
        <f t="shared" si="3"/>
        <v>1409</v>
      </c>
    </row>
    <row r="12" spans="5:15">
      <c r="E12" s="208" t="s">
        <v>319</v>
      </c>
      <c r="F12" s="208" t="s">
        <v>2102</v>
      </c>
      <c r="G12" s="208" t="s">
        <v>282</v>
      </c>
      <c r="H12" s="208">
        <v>114</v>
      </c>
      <c r="I12" s="208">
        <v>114</v>
      </c>
      <c r="K12" s="209" t="str">
        <f t="shared" si="0"/>
        <v>US Equity Options</v>
      </c>
      <c r="L12" s="209" t="str">
        <f>IF(E12="","",IF(COUNTIFS(Table2[[#All],[De (Lote)]],Input_APM!F12)&gt;0,INDEX(Table2[[#All],[Para (Ticker Daniel)]],MATCH(Input_APM!F12,Table2[[#All],[De (Lote)]],0)),Input_APM!F12))</f>
        <v>AVGO US 06/18/26 C350</v>
      </c>
      <c r="M12" s="209" t="str">
        <f t="shared" si="1"/>
        <v>EQTY.IntlUS.off</v>
      </c>
      <c r="N12" s="210">
        <f t="shared" si="2"/>
        <v>114</v>
      </c>
      <c r="O12" s="210">
        <f t="shared" si="3"/>
        <v>114</v>
      </c>
    </row>
    <row r="13" spans="5:15">
      <c r="E13" s="208" t="s">
        <v>39</v>
      </c>
      <c r="F13" s="208" t="s">
        <v>461</v>
      </c>
      <c r="G13" s="208" t="s">
        <v>282</v>
      </c>
      <c r="H13" s="208">
        <v>3163</v>
      </c>
      <c r="I13" s="208">
        <v>3163</v>
      </c>
      <c r="K13" s="209" t="str">
        <f t="shared" si="0"/>
        <v>ADR</v>
      </c>
      <c r="L13" s="209" t="str">
        <f>IF(E13="","",IF(COUNTIFS(Table2[[#All],[De (Lote)]],Input_APM!F13)&gt;0,INDEX(Table2[[#All],[Para (Ticker Daniel)]],MATCH(Input_APM!F13,Table2[[#All],[De (Lote)]],0)),Input_APM!F13))</f>
        <v>BABA</v>
      </c>
      <c r="M13" s="209" t="str">
        <f t="shared" si="1"/>
        <v>EQTY.IntlUS.off</v>
      </c>
      <c r="N13" s="210">
        <f t="shared" si="2"/>
        <v>3163</v>
      </c>
      <c r="O13" s="210">
        <f t="shared" si="3"/>
        <v>3163</v>
      </c>
    </row>
    <row r="14" spans="5:15">
      <c r="E14" s="208" t="s">
        <v>39</v>
      </c>
      <c r="F14" s="208" t="s">
        <v>2138</v>
      </c>
      <c r="G14" s="208" t="s">
        <v>282</v>
      </c>
      <c r="H14" s="208">
        <v>3285</v>
      </c>
      <c r="I14" s="208">
        <v>3285</v>
      </c>
      <c r="K14" s="209" t="str">
        <f t="shared" si="0"/>
        <v>ADR</v>
      </c>
      <c r="L14" s="209" t="str">
        <f>IF(E14="","",IF(COUNTIFS(Table2[[#All],[De (Lote)]],Input_APM!F14)&gt;0,INDEX(Table2[[#All],[Para (Ticker Daniel)]],MATCH(Input_APM!F14,Table2[[#All],[De (Lote)]],0)),Input_APM!F14))</f>
        <v>BIDU</v>
      </c>
      <c r="M14" s="209" t="str">
        <f t="shared" si="1"/>
        <v>EQTY.IntlUS.off</v>
      </c>
      <c r="N14" s="210">
        <f t="shared" si="2"/>
        <v>3285</v>
      </c>
      <c r="O14" s="210">
        <f t="shared" si="3"/>
        <v>3285</v>
      </c>
    </row>
    <row r="15" spans="5:15">
      <c r="E15" s="208" t="s">
        <v>321</v>
      </c>
      <c r="F15" s="208" t="s">
        <v>295</v>
      </c>
      <c r="G15" s="208" t="s">
        <v>282</v>
      </c>
      <c r="H15" s="208">
        <v>-0.28999999999999998</v>
      </c>
      <c r="I15" s="208">
        <v>-0.28999999999999998</v>
      </c>
      <c r="K15" s="209" t="str">
        <f t="shared" si="0"/>
        <v>Cash</v>
      </c>
      <c r="L15" s="209" t="str">
        <f>IF(E15="","",IF(COUNTIFS(Table2[[#All],[De (Lote)]],Input_APM!F15)&gt;0,INDEX(Table2[[#All],[Para (Ticker Daniel)]],MATCH(Input_APM!F15,Table2[[#All],[De (Lote)]],0)),Input_APM!F15))</f>
        <v>Cash CAD</v>
      </c>
      <c r="M15" s="209" t="str">
        <f t="shared" si="1"/>
        <v>EQTY.IntlUS.off</v>
      </c>
      <c r="N15" s="210">
        <f t="shared" si="2"/>
        <v>-0.28999999999999998</v>
      </c>
      <c r="O15" s="210">
        <f t="shared" si="3"/>
        <v>-0.28999999999999998</v>
      </c>
    </row>
    <row r="16" spans="5:15">
      <c r="E16" s="208" t="s">
        <v>321</v>
      </c>
      <c r="F16" s="208" t="s">
        <v>296</v>
      </c>
      <c r="G16" s="208" t="s">
        <v>283</v>
      </c>
      <c r="H16" s="208">
        <v>0.39</v>
      </c>
      <c r="I16" s="208">
        <v>0.39</v>
      </c>
      <c r="K16" s="209" t="str">
        <f t="shared" si="0"/>
        <v>Cash</v>
      </c>
      <c r="L16" s="209" t="str">
        <f>IF(E16="","",IF(COUNTIFS(Table2[[#All],[De (Lote)]],Input_APM!F16)&gt;0,INDEX(Table2[[#All],[Para (Ticker Daniel)]],MATCH(Input_APM!F16,Table2[[#All],[De (Lote)]],0)),Input_APM!F16))</f>
        <v>Cash CHF</v>
      </c>
      <c r="M16" s="209" t="str">
        <f t="shared" si="1"/>
        <v>EQTY.InternacionalUS2.off</v>
      </c>
      <c r="N16" s="210">
        <f t="shared" si="2"/>
        <v>0.39</v>
      </c>
      <c r="O16" s="210">
        <f t="shared" si="3"/>
        <v>0.39</v>
      </c>
    </row>
    <row r="17" spans="5:15">
      <c r="E17" s="208" t="s">
        <v>321</v>
      </c>
      <c r="F17" s="208" t="s">
        <v>296</v>
      </c>
      <c r="G17" s="208" t="s">
        <v>282</v>
      </c>
      <c r="H17" s="208">
        <v>-34454.449999999997</v>
      </c>
      <c r="I17" s="208">
        <v>-34454.449999999997</v>
      </c>
      <c r="K17" s="209" t="str">
        <f t="shared" si="0"/>
        <v>Cash</v>
      </c>
      <c r="L17" s="209" t="str">
        <f>IF(E17="","",IF(COUNTIFS(Table2[[#All],[De (Lote)]],Input_APM!F17)&gt;0,INDEX(Table2[[#All],[Para (Ticker Daniel)]],MATCH(Input_APM!F17,Table2[[#All],[De (Lote)]],0)),Input_APM!F17))</f>
        <v>Cash CHF</v>
      </c>
      <c r="M17" s="209" t="str">
        <f t="shared" si="1"/>
        <v>EQTY.IntlUS.off</v>
      </c>
      <c r="N17" s="210">
        <f t="shared" si="2"/>
        <v>-34454.449999999997</v>
      </c>
      <c r="O17" s="210">
        <f t="shared" si="3"/>
        <v>-34454.449999999997</v>
      </c>
    </row>
    <row r="18" spans="5:15">
      <c r="E18" s="208" t="s">
        <v>321</v>
      </c>
      <c r="F18" s="208" t="s">
        <v>297</v>
      </c>
      <c r="G18" s="208" t="s">
        <v>282</v>
      </c>
      <c r="H18" s="208">
        <v>-0.36</v>
      </c>
      <c r="I18" s="208">
        <v>-0.36</v>
      </c>
      <c r="K18" s="209" t="str">
        <f t="shared" si="0"/>
        <v>Cash</v>
      </c>
      <c r="L18" s="209" t="str">
        <f>IF(E18="","",IF(COUNTIFS(Table2[[#All],[De (Lote)]],Input_APM!F18)&gt;0,INDEX(Table2[[#All],[Para (Ticker Daniel)]],MATCH(Input_APM!F18,Table2[[#All],[De (Lote)]],0)),Input_APM!F18))</f>
        <v>Cash CNH</v>
      </c>
      <c r="M18" s="209" t="str">
        <f t="shared" si="1"/>
        <v>EQTY.IntlUS.off</v>
      </c>
      <c r="N18" s="210">
        <f t="shared" si="2"/>
        <v>-0.36</v>
      </c>
      <c r="O18" s="210">
        <f t="shared" si="3"/>
        <v>-0.36</v>
      </c>
    </row>
    <row r="19" spans="5:15">
      <c r="E19" s="208" t="s">
        <v>321</v>
      </c>
      <c r="F19" s="208" t="s">
        <v>2123</v>
      </c>
      <c r="G19" s="208" t="s">
        <v>283</v>
      </c>
      <c r="H19" s="208">
        <v>-0.19</v>
      </c>
      <c r="I19" s="208">
        <v>-0.19</v>
      </c>
      <c r="K19" s="209" t="str">
        <f t="shared" si="0"/>
        <v>Cash</v>
      </c>
      <c r="L19" s="209" t="str">
        <f>IF(E19="","",IF(COUNTIFS(Table2[[#All],[De (Lote)]],Input_APM!F19)&gt;0,INDEX(Table2[[#All],[Para (Ticker Daniel)]],MATCH(Input_APM!F19,Table2[[#All],[De (Lote)]],0)),Input_APM!F19))</f>
        <v>Cash CNY</v>
      </c>
      <c r="M19" s="209" t="str">
        <f t="shared" si="1"/>
        <v>EQTY.InternacionalUS2.off</v>
      </c>
      <c r="N19" s="210">
        <f t="shared" si="2"/>
        <v>-0.19</v>
      </c>
      <c r="O19" s="210">
        <f t="shared" si="3"/>
        <v>-0.19</v>
      </c>
    </row>
    <row r="20" spans="5:15">
      <c r="E20" s="208" t="s">
        <v>321</v>
      </c>
      <c r="F20" s="208" t="s">
        <v>2123</v>
      </c>
      <c r="G20" s="208" t="s">
        <v>282</v>
      </c>
      <c r="H20" s="208">
        <v>-143145.81</v>
      </c>
      <c r="I20" s="208">
        <v>-143145.81</v>
      </c>
      <c r="K20" s="209" t="str">
        <f t="shared" si="0"/>
        <v>Cash</v>
      </c>
      <c r="L20" s="209" t="str">
        <f>IF(E20="","",IF(COUNTIFS(Table2[[#All],[De (Lote)]],Input_APM!F20)&gt;0,INDEX(Table2[[#All],[Para (Ticker Daniel)]],MATCH(Input_APM!F20,Table2[[#All],[De (Lote)]],0)),Input_APM!F20))</f>
        <v>Cash CNY</v>
      </c>
      <c r="M20" s="209" t="str">
        <f t="shared" si="1"/>
        <v>EQTY.IntlUS.off</v>
      </c>
      <c r="N20" s="210">
        <f t="shared" si="2"/>
        <v>-143145.81</v>
      </c>
      <c r="O20" s="210">
        <f t="shared" si="3"/>
        <v>-143145.81</v>
      </c>
    </row>
    <row r="21" spans="5:15">
      <c r="E21" s="208" t="s">
        <v>321</v>
      </c>
      <c r="F21" s="208" t="s">
        <v>298</v>
      </c>
      <c r="G21" s="208" t="s">
        <v>283</v>
      </c>
      <c r="H21" s="208">
        <v>-0.15</v>
      </c>
      <c r="I21" s="208">
        <v>-0.15</v>
      </c>
      <c r="K21" s="209" t="str">
        <f t="shared" si="0"/>
        <v>Cash</v>
      </c>
      <c r="L21" s="209" t="str">
        <f>IF(E21="","",IF(COUNTIFS(Table2[[#All],[De (Lote)]],Input_APM!F21)&gt;0,INDEX(Table2[[#All],[Para (Ticker Daniel)]],MATCH(Input_APM!F21,Table2[[#All],[De (Lote)]],0)),Input_APM!F21))</f>
        <v>Cash EUR</v>
      </c>
      <c r="M21" s="209" t="str">
        <f t="shared" si="1"/>
        <v>EQTY.InternacionalUS2.off</v>
      </c>
      <c r="N21" s="210">
        <f t="shared" si="2"/>
        <v>-0.15</v>
      </c>
      <c r="O21" s="210">
        <f t="shared" si="3"/>
        <v>-0.15</v>
      </c>
    </row>
    <row r="22" spans="5:15">
      <c r="E22" s="208" t="s">
        <v>321</v>
      </c>
      <c r="F22" s="208" t="s">
        <v>298</v>
      </c>
      <c r="G22" s="208" t="s">
        <v>282</v>
      </c>
      <c r="H22" s="208">
        <v>40729.67</v>
      </c>
      <c r="I22" s="208">
        <v>40729.67</v>
      </c>
      <c r="K22" s="209" t="str">
        <f t="shared" si="0"/>
        <v>Cash</v>
      </c>
      <c r="L22" s="209" t="str">
        <f>IF(E22="","",IF(COUNTIFS(Table2[[#All],[De (Lote)]],Input_APM!F22)&gt;0,INDEX(Table2[[#All],[Para (Ticker Daniel)]],MATCH(Input_APM!F22,Table2[[#All],[De (Lote)]],0)),Input_APM!F22))</f>
        <v>Cash EUR</v>
      </c>
      <c r="M22" s="209" t="str">
        <f t="shared" si="1"/>
        <v>EQTY.IntlUS.off</v>
      </c>
      <c r="N22" s="210">
        <f t="shared" si="2"/>
        <v>40729.67</v>
      </c>
      <c r="O22" s="210">
        <f t="shared" si="3"/>
        <v>40729.67</v>
      </c>
    </row>
    <row r="23" spans="5:15">
      <c r="E23" s="208" t="s">
        <v>321</v>
      </c>
      <c r="F23" s="208" t="s">
        <v>299</v>
      </c>
      <c r="G23" s="208" t="s">
        <v>282</v>
      </c>
      <c r="H23" s="208">
        <v>-0.47</v>
      </c>
      <c r="I23" s="208">
        <v>-0.47</v>
      </c>
      <c r="K23" s="209" t="str">
        <f t="shared" si="0"/>
        <v>Cash</v>
      </c>
      <c r="L23" s="209" t="str">
        <f>IF(E23="","",IF(COUNTIFS(Table2[[#All],[De (Lote)]],Input_APM!F23)&gt;0,INDEX(Table2[[#All],[Para (Ticker Daniel)]],MATCH(Input_APM!F23,Table2[[#All],[De (Lote)]],0)),Input_APM!F23))</f>
        <v>Cash GBP</v>
      </c>
      <c r="M23" s="209" t="str">
        <f t="shared" si="1"/>
        <v>EQTY.IntlUS.off</v>
      </c>
      <c r="N23" s="210">
        <f t="shared" si="2"/>
        <v>-0.47</v>
      </c>
      <c r="O23" s="210">
        <f t="shared" si="3"/>
        <v>-0.47</v>
      </c>
    </row>
    <row r="24" spans="5:15">
      <c r="E24" s="208" t="s">
        <v>321</v>
      </c>
      <c r="F24" s="208" t="s">
        <v>300</v>
      </c>
      <c r="G24" s="208" t="s">
        <v>283</v>
      </c>
      <c r="H24" s="208">
        <v>0.2</v>
      </c>
      <c r="I24" s="208">
        <v>0.2</v>
      </c>
      <c r="K24" s="209" t="str">
        <f t="shared" si="0"/>
        <v>Cash</v>
      </c>
      <c r="L24" s="209" t="str">
        <f>IF(E24="","",IF(COUNTIFS(Table2[[#All],[De (Lote)]],Input_APM!F24)&gt;0,INDEX(Table2[[#All],[Para (Ticker Daniel)]],MATCH(Input_APM!F24,Table2[[#All],[De (Lote)]],0)),Input_APM!F24))</f>
        <v>Cash HKD</v>
      </c>
      <c r="M24" s="209" t="str">
        <f t="shared" si="1"/>
        <v>EQTY.InternacionalUS2.off</v>
      </c>
      <c r="N24" s="210">
        <f t="shared" si="2"/>
        <v>0.2</v>
      </c>
      <c r="O24" s="210">
        <f t="shared" si="3"/>
        <v>0.2</v>
      </c>
    </row>
    <row r="25" spans="5:15">
      <c r="E25" s="208" t="s">
        <v>321</v>
      </c>
      <c r="F25" s="208" t="s">
        <v>300</v>
      </c>
      <c r="G25" s="208" t="s">
        <v>282</v>
      </c>
      <c r="H25" s="208">
        <v>-341409.97</v>
      </c>
      <c r="I25" s="208">
        <v>-341409.97</v>
      </c>
      <c r="K25" s="209" t="str">
        <f t="shared" si="0"/>
        <v>Cash</v>
      </c>
      <c r="L25" s="209" t="str">
        <f>IF(E25="","",IF(COUNTIFS(Table2[[#All],[De (Lote)]],Input_APM!F25)&gt;0,INDEX(Table2[[#All],[Para (Ticker Daniel)]],MATCH(Input_APM!F25,Table2[[#All],[De (Lote)]],0)),Input_APM!F25))</f>
        <v>Cash HKD</v>
      </c>
      <c r="M25" s="209" t="str">
        <f t="shared" si="1"/>
        <v>EQTY.IntlUS.off</v>
      </c>
      <c r="N25" s="210">
        <f t="shared" si="2"/>
        <v>-341409.97</v>
      </c>
      <c r="O25" s="210">
        <f t="shared" si="3"/>
        <v>-341409.97</v>
      </c>
    </row>
    <row r="26" spans="5:15">
      <c r="E26" s="208" t="s">
        <v>321</v>
      </c>
      <c r="F26" s="208" t="s">
        <v>301</v>
      </c>
      <c r="G26" s="208" t="s">
        <v>282</v>
      </c>
      <c r="H26" s="208">
        <v>1.000005E-2</v>
      </c>
      <c r="I26" s="208">
        <v>1.000005E-2</v>
      </c>
      <c r="K26" s="209" t="str">
        <f t="shared" si="0"/>
        <v>Cash</v>
      </c>
      <c r="L26" s="209" t="str">
        <f>IF(E26="","",IF(COUNTIFS(Table2[[#All],[De (Lote)]],Input_APM!F26)&gt;0,INDEX(Table2[[#All],[Para (Ticker Daniel)]],MATCH(Input_APM!F26,Table2[[#All],[De (Lote)]],0)),Input_APM!F26))</f>
        <v>Cash KRW</v>
      </c>
      <c r="M26" s="209" t="str">
        <f t="shared" si="1"/>
        <v>EQTY.IntlUS.off</v>
      </c>
      <c r="N26" s="210">
        <f t="shared" si="2"/>
        <v>1.000005E-2</v>
      </c>
      <c r="O26" s="210">
        <f t="shared" si="3"/>
        <v>1.000005E-2</v>
      </c>
    </row>
    <row r="27" spans="5:15">
      <c r="E27" s="208" t="s">
        <v>321</v>
      </c>
      <c r="F27" s="208" t="s">
        <v>302</v>
      </c>
      <c r="G27" s="208" t="s">
        <v>282</v>
      </c>
      <c r="H27" s="208">
        <v>6257742.3943531504</v>
      </c>
      <c r="I27" s="208">
        <v>-31954.995646849999</v>
      </c>
      <c r="K27" s="209" t="str">
        <f t="shared" si="0"/>
        <v>Cash</v>
      </c>
      <c r="L27" s="209" t="str">
        <f>IF(E27="","",IF(COUNTIFS(Table2[[#All],[De (Lote)]],Input_APM!F27)&gt;0,INDEX(Table2[[#All],[Para (Ticker Daniel)]],MATCH(Input_APM!F27,Table2[[#All],[De (Lote)]],0)),Input_APM!F27))</f>
        <v>Cash USD</v>
      </c>
      <c r="M27" s="209" t="str">
        <f t="shared" si="1"/>
        <v>EQTY.IntlUS.off</v>
      </c>
      <c r="N27" s="210">
        <f t="shared" si="2"/>
        <v>6257742.3943531504</v>
      </c>
      <c r="O27" s="210">
        <f t="shared" si="3"/>
        <v>-31954.995646849999</v>
      </c>
    </row>
    <row r="28" spans="5:15">
      <c r="E28" s="208" t="s">
        <v>477</v>
      </c>
      <c r="F28" s="208" t="s">
        <v>1906</v>
      </c>
      <c r="G28" s="208" t="s">
        <v>282</v>
      </c>
      <c r="H28" s="208">
        <v>4625000</v>
      </c>
      <c r="I28" s="208">
        <v>4625000</v>
      </c>
      <c r="K28" s="209" t="str">
        <f t="shared" si="0"/>
        <v>CDS</v>
      </c>
      <c r="L28" s="209" t="str">
        <f>IF(E28="","",IF(COUNTIFS(Table2[[#All],[De (Lote)]],Input_APM!F28)&gt;0,INDEX(Table2[[#All],[Para (Ticker Daniel)]],MATCH(Input_APM!F28,Table2[[#All],[De (Lote)]],0)),Input_APM!F28))</f>
        <v>CHINAGOV 12/20/30</v>
      </c>
      <c r="M28" s="209" t="str">
        <f t="shared" si="1"/>
        <v>EQTY.IntlUS.off</v>
      </c>
      <c r="N28" s="210">
        <f t="shared" si="2"/>
        <v>4625000</v>
      </c>
      <c r="O28" s="210">
        <f t="shared" si="3"/>
        <v>4625000</v>
      </c>
    </row>
    <row r="29" spans="5:15">
      <c r="E29" s="208" t="s">
        <v>317</v>
      </c>
      <c r="F29" s="208" t="s">
        <v>2344</v>
      </c>
      <c r="G29" s="208" t="s">
        <v>282</v>
      </c>
      <c r="H29" s="208">
        <v>29767</v>
      </c>
      <c r="I29" s="208">
        <v>28536</v>
      </c>
      <c r="K29" s="209" t="str">
        <f t="shared" si="0"/>
        <v>US Equity</v>
      </c>
      <c r="L29" s="209" t="str">
        <f>IF(E29="","",IF(COUNTIFS(Table2[[#All],[De (Lote)]],Input_APM!F29)&gt;0,INDEX(Table2[[#All],[Para (Ticker Daniel)]],MATCH(Input_APM!F29,Table2[[#All],[De (Lote)]],0)),Input_APM!F29))</f>
        <v>CSCO</v>
      </c>
      <c r="M29" s="209" t="str">
        <f t="shared" si="1"/>
        <v>EQTY.IntlUS.off</v>
      </c>
      <c r="N29" s="210">
        <f t="shared" si="2"/>
        <v>29767</v>
      </c>
      <c r="O29" s="210">
        <f t="shared" si="3"/>
        <v>28536</v>
      </c>
    </row>
    <row r="30" spans="5:15">
      <c r="E30" s="208" t="s">
        <v>320</v>
      </c>
      <c r="F30" s="208" t="s">
        <v>1754</v>
      </c>
      <c r="G30" s="208" t="s">
        <v>282</v>
      </c>
      <c r="H30" s="208">
        <v>60248</v>
      </c>
      <c r="I30" s="208">
        <v>44211</v>
      </c>
      <c r="K30" s="209" t="str">
        <f t="shared" si="0"/>
        <v>ETF</v>
      </c>
      <c r="L30" s="209" t="str">
        <f>IF(E30="","",IF(COUNTIFS(Table2[[#All],[De (Lote)]],Input_APM!F30)&gt;0,INDEX(Table2[[#All],[Para (Ticker Daniel)]],MATCH(Input_APM!F30,Table2[[#All],[De (Lote)]],0)),Input_APM!F30))</f>
        <v>EWY</v>
      </c>
      <c r="M30" s="209" t="str">
        <f t="shared" si="1"/>
        <v>EQTY.IntlUS.off</v>
      </c>
      <c r="N30" s="210">
        <f t="shared" si="2"/>
        <v>60248</v>
      </c>
      <c r="O30" s="210">
        <f t="shared" si="3"/>
        <v>44211</v>
      </c>
    </row>
    <row r="31" spans="5:15">
      <c r="E31" s="208" t="s">
        <v>320</v>
      </c>
      <c r="F31" s="208" t="s">
        <v>131</v>
      </c>
      <c r="G31" s="208" t="s">
        <v>282</v>
      </c>
      <c r="H31" s="208">
        <v>0</v>
      </c>
      <c r="I31" s="208">
        <v>18727</v>
      </c>
      <c r="K31" s="209" t="str">
        <f t="shared" si="0"/>
        <v>ETF</v>
      </c>
      <c r="L31" s="209" t="str">
        <f>IF(E31="","",IF(COUNTIFS(Table2[[#All],[De (Lote)]],Input_APM!F31)&gt;0,INDEX(Table2[[#All],[Para (Ticker Daniel)]],MATCH(Input_APM!F31,Table2[[#All],[De (Lote)]],0)),Input_APM!F31))</f>
        <v xml:space="preserve">GDX </v>
      </c>
      <c r="M31" s="209" t="str">
        <f t="shared" si="1"/>
        <v>EQTY.IntlUS.off</v>
      </c>
      <c r="N31" s="210">
        <f t="shared" si="2"/>
        <v>0</v>
      </c>
      <c r="O31" s="210">
        <f t="shared" si="3"/>
        <v>18727</v>
      </c>
    </row>
    <row r="32" spans="5:15">
      <c r="E32" s="208" t="s">
        <v>324</v>
      </c>
      <c r="F32" s="208" t="s">
        <v>2259</v>
      </c>
      <c r="G32" s="208" t="s">
        <v>282</v>
      </c>
      <c r="H32" s="208">
        <v>797</v>
      </c>
      <c r="I32" s="208">
        <v>797</v>
      </c>
      <c r="K32" s="209" t="str">
        <f t="shared" si="0"/>
        <v>ETF Options</v>
      </c>
      <c r="L32" s="209" t="str">
        <f>IF(E32="","",IF(COUNTIFS(Table2[[#All],[De (Lote)]],Input_APM!F32)&gt;0,INDEX(Table2[[#All],[Para (Ticker Daniel)]],MATCH(Input_APM!F32,Table2[[#All],[De (Lote)]],0)),Input_APM!F32))</f>
        <v>GDX US 09/18/26 C105</v>
      </c>
      <c r="M32" s="209" t="str">
        <f t="shared" si="1"/>
        <v>EQTY.IntlUS.off</v>
      </c>
      <c r="N32" s="210">
        <f t="shared" si="2"/>
        <v>797</v>
      </c>
      <c r="O32" s="210">
        <f t="shared" si="3"/>
        <v>797</v>
      </c>
    </row>
    <row r="33" spans="5:15">
      <c r="E33" s="208" t="s">
        <v>324</v>
      </c>
      <c r="F33" s="208" t="s">
        <v>2260</v>
      </c>
      <c r="G33" s="208" t="s">
        <v>282</v>
      </c>
      <c r="H33" s="208">
        <v>-797</v>
      </c>
      <c r="I33" s="208">
        <v>-797</v>
      </c>
      <c r="K33" s="209" t="str">
        <f t="shared" si="0"/>
        <v>ETF Options</v>
      </c>
      <c r="L33" s="209" t="str">
        <f>IF(E33="","",IF(COUNTIFS(Table2[[#All],[De (Lote)]],Input_APM!F33)&gt;0,INDEX(Table2[[#All],[Para (Ticker Daniel)]],MATCH(Input_APM!F33,Table2[[#All],[De (Lote)]],0)),Input_APM!F33))</f>
        <v>GDX US 09/18/26 C115</v>
      </c>
      <c r="M33" s="209" t="str">
        <f t="shared" si="1"/>
        <v>EQTY.IntlUS.off</v>
      </c>
      <c r="N33" s="210">
        <f t="shared" si="2"/>
        <v>-797</v>
      </c>
      <c r="O33" s="210">
        <f t="shared" si="3"/>
        <v>-797</v>
      </c>
    </row>
    <row r="34" spans="5:15">
      <c r="E34" s="208" t="s">
        <v>317</v>
      </c>
      <c r="F34" s="208" t="s">
        <v>2145</v>
      </c>
      <c r="G34" s="208" t="s">
        <v>282</v>
      </c>
      <c r="H34" s="208">
        <v>13594</v>
      </c>
      <c r="I34" s="208">
        <v>13594</v>
      </c>
      <c r="K34" s="209" t="str">
        <f t="shared" si="0"/>
        <v>US Equity</v>
      </c>
      <c r="L34" s="209" t="str">
        <f>IF(E34="","",IF(COUNTIFS(Table2[[#All],[De (Lote)]],Input_APM!F34)&gt;0,INDEX(Table2[[#All],[Para (Ticker Daniel)]],MATCH(Input_APM!F34,Table2[[#All],[De (Lote)]],0)),Input_APM!F34))</f>
        <v>GOOG</v>
      </c>
      <c r="M34" s="209" t="str">
        <f t="shared" si="1"/>
        <v>EQTY.IntlUS.off</v>
      </c>
      <c r="N34" s="210">
        <f t="shared" si="2"/>
        <v>13594</v>
      </c>
      <c r="O34" s="210">
        <f t="shared" si="3"/>
        <v>13594</v>
      </c>
    </row>
    <row r="35" spans="5:15">
      <c r="E35" s="208" t="s">
        <v>325</v>
      </c>
      <c r="F35" s="208" t="s">
        <v>1896</v>
      </c>
      <c r="G35" s="208" t="s">
        <v>282</v>
      </c>
      <c r="H35" s="208">
        <v>276451</v>
      </c>
      <c r="I35" s="208">
        <v>276451</v>
      </c>
      <c r="K35" s="209" t="str">
        <f t="shared" si="0"/>
        <v>Basket Index Options</v>
      </c>
      <c r="L35" s="209" t="str">
        <f>IF(E35="","",IF(COUNTIFS(Table2[[#All],[De (Lote)]],Input_APM!F35)&gt;0,INDEX(Table2[[#All],[Para (Ticker Daniel)]],MATCH(Input_APM!F35,Table2[[#All],[De (Lote)]],0)),Input_APM!F35))</f>
        <v>GSC1000P 03/20/26 C104</v>
      </c>
      <c r="M35" s="209" t="str">
        <f t="shared" si="1"/>
        <v>EQTY.IntlUS.off</v>
      </c>
      <c r="N35" s="210">
        <f t="shared" si="2"/>
        <v>276451</v>
      </c>
      <c r="O35" s="210">
        <f t="shared" si="3"/>
        <v>276451</v>
      </c>
    </row>
    <row r="36" spans="5:15">
      <c r="E36" s="208" t="s">
        <v>325</v>
      </c>
      <c r="F36" s="208" t="s">
        <v>1897</v>
      </c>
      <c r="G36" s="208" t="s">
        <v>282</v>
      </c>
      <c r="H36" s="208">
        <v>-276451</v>
      </c>
      <c r="I36" s="208">
        <v>-276451</v>
      </c>
      <c r="K36" s="209" t="str">
        <f t="shared" si="0"/>
        <v>Basket Index Options</v>
      </c>
      <c r="L36" s="209" t="str">
        <f>IF(E36="","",IF(COUNTIFS(Table2[[#All],[De (Lote)]],Input_APM!F36)&gt;0,INDEX(Table2[[#All],[Para (Ticker Daniel)]],MATCH(Input_APM!F36,Table2[[#All],[De (Lote)]],0)),Input_APM!F36))</f>
        <v>GSC1000P 03/20/26 C119</v>
      </c>
      <c r="M36" s="209" t="str">
        <f t="shared" si="1"/>
        <v>EQTY.IntlUS.off</v>
      </c>
      <c r="N36" s="210">
        <f t="shared" si="2"/>
        <v>-276451</v>
      </c>
      <c r="O36" s="210">
        <f t="shared" si="3"/>
        <v>-276451</v>
      </c>
    </row>
    <row r="37" spans="5:15">
      <c r="E37" s="208" t="s">
        <v>320</v>
      </c>
      <c r="F37" s="208" t="s">
        <v>89</v>
      </c>
      <c r="G37" s="208" t="s">
        <v>282</v>
      </c>
      <c r="H37" s="208">
        <v>-7054</v>
      </c>
      <c r="I37" s="208">
        <v>-24420</v>
      </c>
      <c r="K37" s="209" t="str">
        <f t="shared" si="0"/>
        <v>ETF</v>
      </c>
      <c r="L37" s="209" t="str">
        <f>IF(E37="","",IF(COUNTIFS(Table2[[#All],[De (Lote)]],Input_APM!F37)&gt;0,INDEX(Table2[[#All],[Para (Ticker Daniel)]],MATCH(Input_APM!F37,Table2[[#All],[De (Lote)]],0)),Input_APM!F37))</f>
        <v>IGV</v>
      </c>
      <c r="M37" s="209" t="str">
        <f t="shared" si="1"/>
        <v>EQTY.IntlUS.off</v>
      </c>
      <c r="N37" s="210">
        <f t="shared" si="2"/>
        <v>-7054</v>
      </c>
      <c r="O37" s="210">
        <f t="shared" si="3"/>
        <v>-24420</v>
      </c>
    </row>
    <row r="38" spans="5:15">
      <c r="E38" s="208" t="s">
        <v>319</v>
      </c>
      <c r="F38" s="208" t="s">
        <v>2324</v>
      </c>
      <c r="G38" s="208" t="s">
        <v>282</v>
      </c>
      <c r="H38" s="208">
        <v>260</v>
      </c>
      <c r="I38" s="208">
        <v>260</v>
      </c>
      <c r="K38" s="209" t="str">
        <f t="shared" si="0"/>
        <v>US Equity Options</v>
      </c>
      <c r="L38" s="209" t="str">
        <f>IF(E38="","",IF(COUNTIFS(Table2[[#All],[De (Lote)]],Input_APM!F38)&gt;0,INDEX(Table2[[#All],[Para (Ticker Daniel)]],MATCH(Input_APM!F38,Table2[[#All],[De (Lote)]],0)),Input_APM!F38))</f>
        <v>INTC US 07/17/26 C50</v>
      </c>
      <c r="M38" s="209" t="str">
        <f t="shared" si="1"/>
        <v>EQTY.IntlUS.off</v>
      </c>
      <c r="N38" s="210">
        <f t="shared" si="2"/>
        <v>260</v>
      </c>
      <c r="O38" s="210">
        <f t="shared" si="3"/>
        <v>260</v>
      </c>
    </row>
    <row r="39" spans="5:15">
      <c r="E39" s="208" t="s">
        <v>319</v>
      </c>
      <c r="F39" s="208" t="s">
        <v>2325</v>
      </c>
      <c r="G39" s="208" t="s">
        <v>282</v>
      </c>
      <c r="H39" s="208">
        <v>-141</v>
      </c>
      <c r="I39" s="208">
        <v>-141</v>
      </c>
      <c r="K39" s="209" t="str">
        <f t="shared" si="0"/>
        <v>US Equity Options</v>
      </c>
      <c r="L39" s="209" t="str">
        <f>IF(E39="","",IF(COUNTIFS(Table2[[#All],[De (Lote)]],Input_APM!F39)&gt;0,INDEX(Table2[[#All],[Para (Ticker Daniel)]],MATCH(Input_APM!F39,Table2[[#All],[De (Lote)]],0)),Input_APM!F39))</f>
        <v>INTC US 07/17/26 C60</v>
      </c>
      <c r="M39" s="209" t="str">
        <f t="shared" si="1"/>
        <v>EQTY.IntlUS.off</v>
      </c>
      <c r="N39" s="210">
        <f t="shared" si="2"/>
        <v>-141</v>
      </c>
      <c r="O39" s="210">
        <f t="shared" si="3"/>
        <v>-141</v>
      </c>
    </row>
    <row r="40" spans="5:15">
      <c r="E40" s="208" t="s">
        <v>319</v>
      </c>
      <c r="F40" s="208" t="s">
        <v>2323</v>
      </c>
      <c r="G40" s="208" t="s">
        <v>282</v>
      </c>
      <c r="H40" s="208">
        <v>-141</v>
      </c>
      <c r="I40" s="208">
        <v>-141</v>
      </c>
      <c r="K40" s="209" t="str">
        <f t="shared" si="0"/>
        <v>US Equity Options</v>
      </c>
      <c r="L40" s="209" t="str">
        <f>IF(E40="","",IF(COUNTIFS(Table2[[#All],[De (Lote)]],Input_APM!F40)&gt;0,INDEX(Table2[[#All],[Para (Ticker Daniel)]],MATCH(Input_APM!F40,Table2[[#All],[De (Lote)]],0)),Input_APM!F40))</f>
        <v>INTC US 07/17/26 P40</v>
      </c>
      <c r="M40" s="209" t="str">
        <f t="shared" si="1"/>
        <v>EQTY.IntlUS.off</v>
      </c>
      <c r="N40" s="210">
        <f t="shared" si="2"/>
        <v>-141</v>
      </c>
      <c r="O40" s="210">
        <f t="shared" si="3"/>
        <v>-141</v>
      </c>
    </row>
    <row r="41" spans="5:15">
      <c r="E41" s="208" t="s">
        <v>317</v>
      </c>
      <c r="F41" s="208" t="s">
        <v>2261</v>
      </c>
      <c r="G41" s="208" t="s">
        <v>282</v>
      </c>
      <c r="H41" s="208">
        <v>-10782</v>
      </c>
      <c r="I41" s="208">
        <v>-10782</v>
      </c>
      <c r="K41" s="209" t="str">
        <f t="shared" si="0"/>
        <v>US Equity</v>
      </c>
      <c r="L41" s="209" t="str">
        <f>IF(E41="","",IF(COUNTIFS(Table2[[#All],[De (Lote)]],Input_APM!F41)&gt;0,INDEX(Table2[[#All],[Para (Ticker Daniel)]],MATCH(Input_APM!F41,Table2[[#All],[De (Lote)]],0)),Input_APM!F41))</f>
        <v>KHC</v>
      </c>
      <c r="M41" s="209" t="str">
        <f t="shared" si="1"/>
        <v>EQTY.IntlUS.off</v>
      </c>
      <c r="N41" s="210">
        <f t="shared" si="2"/>
        <v>-10782</v>
      </c>
      <c r="O41" s="210">
        <f t="shared" si="3"/>
        <v>-10782</v>
      </c>
    </row>
    <row r="42" spans="5:15">
      <c r="E42" s="208" t="s">
        <v>2321</v>
      </c>
      <c r="F42" s="208" t="s">
        <v>2298</v>
      </c>
      <c r="G42" s="208" t="s">
        <v>282</v>
      </c>
      <c r="H42" s="208">
        <v>10349446</v>
      </c>
      <c r="I42" s="208">
        <v>10349446</v>
      </c>
      <c r="K42" s="209" t="str">
        <f t="shared" si="0"/>
        <v>KOSPI 200 Index Options - KRX</v>
      </c>
      <c r="L42" s="209" t="str">
        <f>IF(E42="","",IF(COUNTIFS(Table2[[#All],[De (Lote)]],Input_APM!F42)&gt;0,INDEX(Table2[[#All],[Para (Ticker Daniel)]],MATCH(Input_APM!F42,Table2[[#All],[De (Lote)]],0)),Input_APM!F42))</f>
        <v>KOSPI2 12/10/26 C1000</v>
      </c>
      <c r="M42" s="209" t="str">
        <f t="shared" si="1"/>
        <v>EQTY.IntlUS.off</v>
      </c>
      <c r="N42" s="210">
        <f t="shared" si="2"/>
        <v>10349446</v>
      </c>
      <c r="O42" s="210">
        <f t="shared" si="3"/>
        <v>10349446</v>
      </c>
    </row>
    <row r="43" spans="5:15">
      <c r="E43" s="208" t="s">
        <v>317</v>
      </c>
      <c r="F43" s="208" t="s">
        <v>2063</v>
      </c>
      <c r="G43" s="208" t="s">
        <v>282</v>
      </c>
      <c r="H43" s="208">
        <v>0</v>
      </c>
      <c r="I43" s="208">
        <v>841</v>
      </c>
      <c r="K43" s="209" t="str">
        <f t="shared" si="0"/>
        <v>US Equity</v>
      </c>
      <c r="L43" s="209" t="str">
        <f>IF(E43="","",IF(COUNTIFS(Table2[[#All],[De (Lote)]],Input_APM!F43)&gt;0,INDEX(Table2[[#All],[Para (Ticker Daniel)]],MATCH(Input_APM!F43,Table2[[#All],[De (Lote)]],0)),Input_APM!F43))</f>
        <v>LITE</v>
      </c>
      <c r="M43" s="209" t="str">
        <f t="shared" si="1"/>
        <v>EQTY.IntlUS.off</v>
      </c>
      <c r="N43" s="210">
        <f t="shared" si="2"/>
        <v>0</v>
      </c>
      <c r="O43" s="210">
        <f t="shared" si="3"/>
        <v>841</v>
      </c>
    </row>
    <row r="44" spans="5:15">
      <c r="E44" s="208" t="s">
        <v>319</v>
      </c>
      <c r="F44" s="208" t="s">
        <v>2282</v>
      </c>
      <c r="G44" s="208" t="s">
        <v>282</v>
      </c>
      <c r="H44" s="208">
        <v>56</v>
      </c>
      <c r="I44" s="208">
        <v>56</v>
      </c>
      <c r="K44" s="209" t="str">
        <f t="shared" si="0"/>
        <v>US Equity Options</v>
      </c>
      <c r="L44" s="209" t="str">
        <f>IF(E44="","",IF(COUNTIFS(Table2[[#All],[De (Lote)]],Input_APM!F44)&gt;0,INDEX(Table2[[#All],[Para (Ticker Daniel)]],MATCH(Input_APM!F44,Table2[[#All],[De (Lote)]],0)),Input_APM!F44))</f>
        <v>LITE US 03/20/26 C420</v>
      </c>
      <c r="M44" s="209" t="str">
        <f t="shared" si="1"/>
        <v>EQTY.IntlUS.off</v>
      </c>
      <c r="N44" s="210">
        <f t="shared" si="2"/>
        <v>56</v>
      </c>
      <c r="O44" s="210">
        <f t="shared" si="3"/>
        <v>56</v>
      </c>
    </row>
    <row r="45" spans="5:15">
      <c r="E45" s="208" t="s">
        <v>464</v>
      </c>
      <c r="F45" s="208" t="s">
        <v>2400</v>
      </c>
      <c r="G45" s="208" t="s">
        <v>282</v>
      </c>
      <c r="H45" s="208">
        <v>-9372000</v>
      </c>
      <c r="I45" s="208">
        <v>-9372000</v>
      </c>
      <c r="K45" s="209" t="str">
        <f t="shared" si="0"/>
        <v>Global Bonds</v>
      </c>
      <c r="L45" s="209" t="str">
        <f>IF(E45="","",IF(COUNTIFS(Table2[[#All],[De (Lote)]],Input_APM!F45)&gt;0,INDEX(Table2[[#All],[Para (Ticker Daniel)]],MATCH(Input_APM!F45,Table2[[#All],[De (Lote)]],0)),Input_APM!F45))</f>
        <v>META 4.875% 11/15/35</v>
      </c>
      <c r="M45" s="209" t="str">
        <f t="shared" si="1"/>
        <v>EQTY.IntlUS.off</v>
      </c>
      <c r="N45" s="210">
        <f t="shared" si="2"/>
        <v>-9372000</v>
      </c>
      <c r="O45" s="210">
        <f t="shared" si="3"/>
        <v>-9372000</v>
      </c>
    </row>
    <row r="46" spans="5:15">
      <c r="E46" s="208" t="s">
        <v>317</v>
      </c>
      <c r="F46" s="208" t="s">
        <v>326</v>
      </c>
      <c r="G46" s="208" t="s">
        <v>282</v>
      </c>
      <c r="H46" s="208">
        <v>5403</v>
      </c>
      <c r="I46" s="208">
        <v>5403</v>
      </c>
      <c r="K46" s="209" t="str">
        <f t="shared" si="0"/>
        <v>US Equity</v>
      </c>
      <c r="L46" s="209" t="str">
        <f>IF(E46="","",IF(COUNTIFS(Table2[[#All],[De (Lote)]],Input_APM!F46)&gt;0,INDEX(Table2[[#All],[Para (Ticker Daniel)]],MATCH(Input_APM!F46,Table2[[#All],[De (Lote)]],0)),Input_APM!F46))</f>
        <v>META</v>
      </c>
      <c r="M46" s="209" t="str">
        <f t="shared" si="1"/>
        <v>EQTY.IntlUS.off</v>
      </c>
      <c r="N46" s="210">
        <f t="shared" si="2"/>
        <v>5403</v>
      </c>
      <c r="O46" s="210">
        <f t="shared" si="3"/>
        <v>5403</v>
      </c>
    </row>
    <row r="47" spans="5:15">
      <c r="E47" s="208" t="s">
        <v>319</v>
      </c>
      <c r="F47" s="208" t="s">
        <v>2398</v>
      </c>
      <c r="G47" s="208" t="s">
        <v>282</v>
      </c>
      <c r="H47" s="208">
        <v>0</v>
      </c>
      <c r="I47" s="208">
        <v>70</v>
      </c>
      <c r="K47" s="209" t="str">
        <f t="shared" si="0"/>
        <v>US Equity Options</v>
      </c>
      <c r="L47" s="209" t="str">
        <f>IF(E47="","",IF(COUNTIFS(Table2[[#All],[De (Lote)]],Input_APM!F47)&gt;0,INDEX(Table2[[#All],[Para (Ticker Daniel)]],MATCH(Input_APM!F47,Table2[[#All],[De (Lote)]],0)),Input_APM!F47))</f>
        <v>META US 07/17/26 C700</v>
      </c>
      <c r="M47" s="209" t="str">
        <f t="shared" si="1"/>
        <v>EQTY.IntlUS.off</v>
      </c>
      <c r="N47" s="210">
        <f t="shared" si="2"/>
        <v>0</v>
      </c>
      <c r="O47" s="210">
        <f t="shared" si="3"/>
        <v>70</v>
      </c>
    </row>
    <row r="48" spans="5:15">
      <c r="E48" s="208" t="s">
        <v>319</v>
      </c>
      <c r="F48" s="208" t="s">
        <v>2444</v>
      </c>
      <c r="G48" s="208" t="s">
        <v>282</v>
      </c>
      <c r="H48" s="208">
        <v>128</v>
      </c>
      <c r="I48" s="208">
        <v>58</v>
      </c>
      <c r="K48" s="209" t="str">
        <f t="shared" si="0"/>
        <v>US Equity Options</v>
      </c>
      <c r="L48" s="209" t="str">
        <f>IF(E48="","",IF(COUNTIFS(Table2[[#All],[De (Lote)]],Input_APM!F48)&gt;0,INDEX(Table2[[#All],[Para (Ticker Daniel)]],MATCH(Input_APM!F48,Table2[[#All],[De (Lote)]],0)),Input_APM!F48))</f>
        <v>META US 07/17/26 C750</v>
      </c>
      <c r="M48" s="209" t="str">
        <f t="shared" si="1"/>
        <v>EQTY.IntlUS.off</v>
      </c>
      <c r="N48" s="210">
        <f t="shared" si="2"/>
        <v>128</v>
      </c>
      <c r="O48" s="210">
        <f t="shared" si="3"/>
        <v>58</v>
      </c>
    </row>
    <row r="49" spans="5:15">
      <c r="E49" s="208" t="s">
        <v>317</v>
      </c>
      <c r="F49" s="208" t="s">
        <v>138</v>
      </c>
      <c r="G49" s="208" t="s">
        <v>282</v>
      </c>
      <c r="H49" s="208">
        <v>2771</v>
      </c>
      <c r="I49" s="208">
        <v>2771</v>
      </c>
      <c r="K49" s="209" t="str">
        <f t="shared" si="0"/>
        <v>US Equity</v>
      </c>
      <c r="L49" s="209" t="str">
        <f>IF(E49="","",IF(COUNTIFS(Table2[[#All],[De (Lote)]],Input_APM!F49)&gt;0,INDEX(Table2[[#All],[Para (Ticker Daniel)]],MATCH(Input_APM!F49,Table2[[#All],[De (Lote)]],0)),Input_APM!F49))</f>
        <v>MRVL</v>
      </c>
      <c r="M49" s="209" t="str">
        <f t="shared" si="1"/>
        <v>EQTY.IntlUS.off</v>
      </c>
      <c r="N49" s="210">
        <f t="shared" si="2"/>
        <v>2771</v>
      </c>
      <c r="O49" s="210">
        <f t="shared" si="3"/>
        <v>2771</v>
      </c>
    </row>
    <row r="50" spans="5:15">
      <c r="E50" s="208" t="s">
        <v>319</v>
      </c>
      <c r="F50" s="208" t="s">
        <v>2270</v>
      </c>
      <c r="G50" s="208" t="s">
        <v>282</v>
      </c>
      <c r="H50" s="208">
        <v>-141</v>
      </c>
      <c r="I50" s="208">
        <v>-141</v>
      </c>
      <c r="K50" s="209" t="str">
        <f t="shared" si="0"/>
        <v>US Equity Options</v>
      </c>
      <c r="L50" s="209" t="str">
        <f>IF(E50="","",IF(COUNTIFS(Table2[[#All],[De (Lote)]],Input_APM!F50)&gt;0,INDEX(Table2[[#All],[Para (Ticker Daniel)]],MATCH(Input_APM!F50,Table2[[#All],[De (Lote)]],0)),Input_APM!F50))</f>
        <v>MRVL US 03/20/26 P70</v>
      </c>
      <c r="M50" s="209" t="str">
        <f t="shared" si="1"/>
        <v>EQTY.IntlUS.off</v>
      </c>
      <c r="N50" s="210">
        <f t="shared" si="2"/>
        <v>-141</v>
      </c>
      <c r="O50" s="210">
        <f t="shared" si="3"/>
        <v>-141</v>
      </c>
    </row>
    <row r="51" spans="5:15">
      <c r="E51" s="208" t="s">
        <v>319</v>
      </c>
      <c r="F51" s="208" t="s">
        <v>2095</v>
      </c>
      <c r="G51" s="208" t="s">
        <v>282</v>
      </c>
      <c r="H51" s="208">
        <v>-188</v>
      </c>
      <c r="I51" s="208">
        <v>-188</v>
      </c>
      <c r="K51" s="209" t="str">
        <f t="shared" si="0"/>
        <v>US Equity Options</v>
      </c>
      <c r="L51" s="209" t="str">
        <f>IF(E51="","",IF(COUNTIFS(Table2[[#All],[De (Lote)]],Input_APM!F51)&gt;0,INDEX(Table2[[#All],[Para (Ticker Daniel)]],MATCH(Input_APM!F51,Table2[[#All],[De (Lote)]],0)),Input_APM!F51))</f>
        <v>MRVL US 03/20/26 P75</v>
      </c>
      <c r="M51" s="209" t="str">
        <f t="shared" si="1"/>
        <v>EQTY.IntlUS.off</v>
      </c>
      <c r="N51" s="210">
        <f t="shared" si="2"/>
        <v>-188</v>
      </c>
      <c r="O51" s="210">
        <f t="shared" si="3"/>
        <v>-188</v>
      </c>
    </row>
    <row r="52" spans="5:15">
      <c r="E52" s="208" t="s">
        <v>319</v>
      </c>
      <c r="F52" s="208" t="s">
        <v>2058</v>
      </c>
      <c r="G52" s="208" t="s">
        <v>282</v>
      </c>
      <c r="H52" s="208">
        <v>141</v>
      </c>
      <c r="I52" s="208">
        <v>141</v>
      </c>
      <c r="K52" s="209" t="str">
        <f t="shared" si="0"/>
        <v>US Equity Options</v>
      </c>
      <c r="L52" s="209" t="str">
        <f>IF(E52="","",IF(COUNTIFS(Table2[[#All],[De (Lote)]],Input_APM!F52)&gt;0,INDEX(Table2[[#All],[Para (Ticker Daniel)]],MATCH(Input_APM!F52,Table2[[#All],[De (Lote)]],0)),Input_APM!F52))</f>
        <v>MRVL US 03/20/26 P80</v>
      </c>
      <c r="M52" s="209" t="str">
        <f t="shared" si="1"/>
        <v>EQTY.IntlUS.off</v>
      </c>
      <c r="N52" s="210">
        <f t="shared" si="2"/>
        <v>141</v>
      </c>
      <c r="O52" s="210">
        <f t="shared" si="3"/>
        <v>141</v>
      </c>
    </row>
    <row r="53" spans="5:15">
      <c r="E53" s="208" t="s">
        <v>319</v>
      </c>
      <c r="F53" s="208" t="s">
        <v>2094</v>
      </c>
      <c r="G53" s="208" t="s">
        <v>282</v>
      </c>
      <c r="H53" s="208">
        <v>186</v>
      </c>
      <c r="I53" s="208">
        <v>186</v>
      </c>
      <c r="K53" s="209" t="str">
        <f t="shared" si="0"/>
        <v>US Equity Options</v>
      </c>
      <c r="L53" s="209" t="str">
        <f>IF(E53="","",IF(COUNTIFS(Table2[[#All],[De (Lote)]],Input_APM!F53)&gt;0,INDEX(Table2[[#All],[Para (Ticker Daniel)]],MATCH(Input_APM!F53,Table2[[#All],[De (Lote)]],0)),Input_APM!F53))</f>
        <v>MRVL US 03/20/26 P85</v>
      </c>
      <c r="M53" s="209" t="str">
        <f t="shared" si="1"/>
        <v>EQTY.IntlUS.off</v>
      </c>
      <c r="N53" s="210">
        <f t="shared" si="2"/>
        <v>186</v>
      </c>
      <c r="O53" s="210">
        <f t="shared" si="3"/>
        <v>186</v>
      </c>
    </row>
    <row r="54" spans="5:15">
      <c r="E54" s="208" t="s">
        <v>317</v>
      </c>
      <c r="F54" s="208" t="s">
        <v>90</v>
      </c>
      <c r="G54" s="208" t="s">
        <v>282</v>
      </c>
      <c r="H54" s="208">
        <v>3910</v>
      </c>
      <c r="I54" s="208">
        <v>3910</v>
      </c>
      <c r="K54" s="209" t="str">
        <f t="shared" si="0"/>
        <v>US Equity</v>
      </c>
      <c r="L54" s="209" t="str">
        <f>IF(E54="","",IF(COUNTIFS(Table2[[#All],[De (Lote)]],Input_APM!F54)&gt;0,INDEX(Table2[[#All],[Para (Ticker Daniel)]],MATCH(Input_APM!F54,Table2[[#All],[De (Lote)]],0)),Input_APM!F54))</f>
        <v>MSFT</v>
      </c>
      <c r="M54" s="209" t="str">
        <f t="shared" si="1"/>
        <v>EQTY.IntlUS.off</v>
      </c>
      <c r="N54" s="210">
        <f t="shared" si="2"/>
        <v>3910</v>
      </c>
      <c r="O54" s="210">
        <f t="shared" si="3"/>
        <v>3910</v>
      </c>
    </row>
    <row r="55" spans="5:15">
      <c r="E55" s="208" t="s">
        <v>2452</v>
      </c>
      <c r="F55" s="208" t="s">
        <v>2453</v>
      </c>
      <c r="G55" s="208" t="s">
        <v>282</v>
      </c>
      <c r="H55" s="208">
        <v>0</v>
      </c>
      <c r="I55" s="208">
        <v>-44</v>
      </c>
      <c r="K55" s="209" t="str">
        <f t="shared" si="0"/>
        <v>NASDAQ-100 E-mini Futures - CME</v>
      </c>
      <c r="L55" s="209" t="str">
        <f>IF(E55="","",IF(COUNTIFS(Table2[[#All],[De (Lote)]],Input_APM!F55)&gt;0,INDEX(Table2[[#All],[Para (Ticker Daniel)]],MATCH(Input_APM!F55,Table2[[#All],[De (Lote)]],0)),Input_APM!F55))</f>
        <v>NQH6</v>
      </c>
      <c r="M55" s="209" t="str">
        <f t="shared" si="1"/>
        <v>EQTY.IntlUS.off</v>
      </c>
      <c r="N55" s="210">
        <f t="shared" si="2"/>
        <v>0</v>
      </c>
      <c r="O55" s="210">
        <f t="shared" si="3"/>
        <v>-44</v>
      </c>
    </row>
    <row r="56" spans="5:15">
      <c r="E56" s="208" t="s">
        <v>317</v>
      </c>
      <c r="F56" s="208" t="s">
        <v>94</v>
      </c>
      <c r="G56" s="208" t="s">
        <v>282</v>
      </c>
      <c r="H56" s="208">
        <v>18703</v>
      </c>
      <c r="I56" s="208">
        <v>18703</v>
      </c>
      <c r="K56" s="209" t="str">
        <f t="shared" si="0"/>
        <v>US Equity</v>
      </c>
      <c r="L56" s="209" t="str">
        <f>IF(E56="","",IF(COUNTIFS(Table2[[#All],[De (Lote)]],Input_APM!F56)&gt;0,INDEX(Table2[[#All],[Para (Ticker Daniel)]],MATCH(Input_APM!F56,Table2[[#All],[De (Lote)]],0)),Input_APM!F56))</f>
        <v>NVDA</v>
      </c>
      <c r="M56" s="209" t="str">
        <f t="shared" si="1"/>
        <v>EQTY.IntlUS.off</v>
      </c>
      <c r="N56" s="210">
        <f t="shared" si="2"/>
        <v>18703</v>
      </c>
      <c r="O56" s="210">
        <f t="shared" si="3"/>
        <v>18703</v>
      </c>
    </row>
    <row r="57" spans="5:15">
      <c r="E57" s="208" t="s">
        <v>319</v>
      </c>
      <c r="F57" s="208" t="s">
        <v>2384</v>
      </c>
      <c r="G57" s="208" t="s">
        <v>282</v>
      </c>
      <c r="H57" s="208">
        <v>142</v>
      </c>
      <c r="I57" s="208">
        <v>142</v>
      </c>
      <c r="K57" s="209" t="str">
        <f t="shared" si="0"/>
        <v>US Equity Options</v>
      </c>
      <c r="L57" s="209" t="str">
        <f>IF(E57="","",IF(COUNTIFS(Table2[[#All],[De (Lote)]],Input_APM!F57)&gt;0,INDEX(Table2[[#All],[Para (Ticker Daniel)]],MATCH(Input_APM!F57,Table2[[#All],[De (Lote)]],0)),Input_APM!F57))</f>
        <v>NVDA US 05/15/26 C200</v>
      </c>
      <c r="M57" s="209" t="str">
        <f t="shared" si="1"/>
        <v>EQTY.IntlUS.off</v>
      </c>
      <c r="N57" s="210">
        <f t="shared" si="2"/>
        <v>142</v>
      </c>
      <c r="O57" s="210">
        <f t="shared" si="3"/>
        <v>142</v>
      </c>
    </row>
    <row r="58" spans="5:15">
      <c r="E58" s="208" t="s">
        <v>318</v>
      </c>
      <c r="F58" s="208" t="s">
        <v>2476</v>
      </c>
      <c r="G58" s="208" t="s">
        <v>282</v>
      </c>
      <c r="H58" s="208">
        <v>-81630</v>
      </c>
      <c r="I58" s="208">
        <v>0</v>
      </c>
      <c r="K58" s="209" t="str">
        <f t="shared" si="0"/>
        <v>Provisions and Costs</v>
      </c>
      <c r="L58" s="209" t="str">
        <f>IF(E58="","",IF(COUNTIFS(Table2[[#All],[De (Lote)]],Input_APM!F58)&gt;0,INDEX(Table2[[#All],[Para (Ticker Daniel)]],MATCH(Input_APM!F58,Table2[[#All],[De (Lote)]],0)),Input_APM!F58))</f>
        <v>Provision CME USD_</v>
      </c>
      <c r="M58" s="209" t="str">
        <f t="shared" si="1"/>
        <v>EQTY.IntlUS.off</v>
      </c>
      <c r="N58" s="210">
        <f t="shared" si="2"/>
        <v>-81630</v>
      </c>
      <c r="O58" s="210">
        <f t="shared" si="3"/>
        <v>0</v>
      </c>
    </row>
    <row r="59" spans="5:15">
      <c r="E59" s="208" t="s">
        <v>318</v>
      </c>
      <c r="F59" s="208" t="s">
        <v>2401</v>
      </c>
      <c r="G59" s="208" t="s">
        <v>282</v>
      </c>
      <c r="H59" s="208">
        <v>0</v>
      </c>
      <c r="I59" s="208">
        <v>116193.74</v>
      </c>
      <c r="K59" s="209" t="str">
        <f t="shared" si="0"/>
        <v>Provisions and Costs</v>
      </c>
      <c r="L59" s="209" t="str">
        <f>IF(E59="","",IF(COUNTIFS(Table2[[#All],[De (Lote)]],Input_APM!F59)&gt;0,INDEX(Table2[[#All],[Para (Ticker Daniel)]],MATCH(Input_APM!F59,Table2[[#All],[De (Lote)]],0)),Input_APM!F59))</f>
        <v>Provision Equity Total Return Swap USD_</v>
      </c>
      <c r="M59" s="209" t="str">
        <f t="shared" si="1"/>
        <v>EQTY.IntlUS.off</v>
      </c>
      <c r="N59" s="210">
        <f t="shared" si="2"/>
        <v>0</v>
      </c>
      <c r="O59" s="210">
        <f t="shared" si="3"/>
        <v>116193.74</v>
      </c>
    </row>
    <row r="60" spans="5:15">
      <c r="E60" s="208" t="s">
        <v>318</v>
      </c>
      <c r="F60" s="208" t="s">
        <v>336</v>
      </c>
      <c r="G60" s="208" t="s">
        <v>282</v>
      </c>
      <c r="H60" s="208">
        <v>-21168</v>
      </c>
      <c r="I60" s="208">
        <v>54261</v>
      </c>
      <c r="K60" s="209" t="str">
        <f t="shared" si="0"/>
        <v>Provisions and Costs</v>
      </c>
      <c r="L60" s="209" t="str">
        <f>IF(E60="","",IF(COUNTIFS(Table2[[#All],[De (Lote)]],Input_APM!F60)&gt;0,INDEX(Table2[[#All],[Para (Ticker Daniel)]],MATCH(Input_APM!F60,Table2[[#All],[De (Lote)]],0)),Input_APM!F60))</f>
        <v>Provision ETF Options USD_</v>
      </c>
      <c r="M60" s="209" t="str">
        <f t="shared" si="1"/>
        <v>EQTY.IntlUS.off</v>
      </c>
      <c r="N60" s="210">
        <f t="shared" si="2"/>
        <v>-21168</v>
      </c>
      <c r="O60" s="210">
        <f t="shared" si="3"/>
        <v>54261</v>
      </c>
    </row>
    <row r="61" spans="5:15">
      <c r="E61" s="208" t="s">
        <v>318</v>
      </c>
      <c r="F61" s="208" t="s">
        <v>306</v>
      </c>
      <c r="G61" s="208" t="s">
        <v>282</v>
      </c>
      <c r="H61" s="208">
        <v>-10692302.23</v>
      </c>
      <c r="I61" s="208">
        <v>6314980.75</v>
      </c>
      <c r="K61" s="209" t="str">
        <f t="shared" si="0"/>
        <v>Provisions and Costs</v>
      </c>
      <c r="L61" s="209" t="str">
        <f>IF(E61="","",IF(COUNTIFS(Table2[[#All],[De (Lote)]],Input_APM!F61)&gt;0,INDEX(Table2[[#All],[Para (Ticker Daniel)]],MATCH(Input_APM!F61,Table2[[#All],[De (Lote)]],0)),Input_APM!F61))</f>
        <v>Provision ETF USD_</v>
      </c>
      <c r="M61" s="209" t="str">
        <f t="shared" si="1"/>
        <v>EQTY.IntlUS.off</v>
      </c>
      <c r="N61" s="210">
        <f t="shared" si="2"/>
        <v>-10692302.23</v>
      </c>
      <c r="O61" s="210">
        <f t="shared" si="3"/>
        <v>6314980.75</v>
      </c>
    </row>
    <row r="62" spans="5:15">
      <c r="E62" s="208" t="s">
        <v>318</v>
      </c>
      <c r="F62" s="208" t="s">
        <v>1666</v>
      </c>
      <c r="G62" s="208" t="s">
        <v>282</v>
      </c>
      <c r="H62" s="208">
        <v>1412903.8</v>
      </c>
      <c r="I62" s="208">
        <v>-164816</v>
      </c>
      <c r="K62" s="209" t="str">
        <f t="shared" si="0"/>
        <v>Provisions and Costs</v>
      </c>
      <c r="L62" s="209" t="str">
        <f>IF(E62="","",IF(COUNTIFS(Table2[[#All],[De (Lote)]],Input_APM!F62)&gt;0,INDEX(Table2[[#All],[Para (Ticker Daniel)]],MATCH(Input_APM!F62,Table2[[#All],[De (Lote)]],0)),Input_APM!F62))</f>
        <v>Provision NYSE USD_</v>
      </c>
      <c r="M62" s="209" t="str">
        <f t="shared" si="1"/>
        <v>EQTY.IntlUS.off</v>
      </c>
      <c r="N62" s="210">
        <f t="shared" si="2"/>
        <v>1412903.8</v>
      </c>
      <c r="O62" s="210">
        <f t="shared" si="3"/>
        <v>-164816</v>
      </c>
    </row>
    <row r="63" spans="5:15">
      <c r="E63" s="208" t="s">
        <v>318</v>
      </c>
      <c r="F63" s="208" t="s">
        <v>337</v>
      </c>
      <c r="G63" s="208" t="s">
        <v>282</v>
      </c>
      <c r="H63" s="208">
        <v>168000</v>
      </c>
      <c r="I63" s="208">
        <v>-217917</v>
      </c>
      <c r="K63" s="209" t="str">
        <f t="shared" si="0"/>
        <v>Provisions and Costs</v>
      </c>
      <c r="L63" s="209" t="str">
        <f>IF(E63="","",IF(COUNTIFS(Table2[[#All],[De (Lote)]],Input_APM!F63)&gt;0,INDEX(Table2[[#All],[Para (Ticker Daniel)]],MATCH(Input_APM!F63,Table2[[#All],[De (Lote)]],0)),Input_APM!F63))</f>
        <v>Provision US Equity Options USD_</v>
      </c>
      <c r="M63" s="209" t="str">
        <f t="shared" si="1"/>
        <v>EQTY.IntlUS.off</v>
      </c>
      <c r="N63" s="210">
        <f t="shared" si="2"/>
        <v>168000</v>
      </c>
      <c r="O63" s="210">
        <f t="shared" si="3"/>
        <v>-217917</v>
      </c>
    </row>
    <row r="64" spans="5:15">
      <c r="E64" s="208" t="s">
        <v>318</v>
      </c>
      <c r="F64" s="208" t="s">
        <v>307</v>
      </c>
      <c r="G64" s="208" t="s">
        <v>282</v>
      </c>
      <c r="H64" s="208">
        <v>340493.57</v>
      </c>
      <c r="I64" s="208">
        <v>186994.9</v>
      </c>
      <c r="K64" s="209" t="str">
        <f t="shared" si="0"/>
        <v>Provisions and Costs</v>
      </c>
      <c r="L64" s="209" t="str">
        <f>IF(E64="","",IF(COUNTIFS(Table2[[#All],[De (Lote)]],Input_APM!F64)&gt;0,INDEX(Table2[[#All],[Para (Ticker Daniel)]],MATCH(Input_APM!F64,Table2[[#All],[De (Lote)]],0)),Input_APM!F64))</f>
        <v>Provision US Equity USD_</v>
      </c>
      <c r="M64" s="209" t="str">
        <f t="shared" si="1"/>
        <v>EQTY.IntlUS.off</v>
      </c>
      <c r="N64" s="210">
        <f t="shared" si="2"/>
        <v>340493.57</v>
      </c>
      <c r="O64" s="210">
        <f t="shared" si="3"/>
        <v>186994.9</v>
      </c>
    </row>
    <row r="65" spans="5:15">
      <c r="E65" s="208" t="s">
        <v>324</v>
      </c>
      <c r="F65" s="208" t="s">
        <v>2472</v>
      </c>
      <c r="G65" s="208" t="s">
        <v>282</v>
      </c>
      <c r="H65" s="208">
        <v>-216</v>
      </c>
      <c r="I65" s="208">
        <v>0</v>
      </c>
      <c r="K65" s="209" t="str">
        <f t="shared" si="0"/>
        <v>ETF Options</v>
      </c>
      <c r="L65" s="209" t="str">
        <f>IF(E65="","",IF(COUNTIFS(Table2[[#All],[De (Lote)]],Input_APM!F65)&gt;0,INDEX(Table2[[#All],[Para (Ticker Daniel)]],MATCH(Input_APM!F65,Table2[[#All],[De (Lote)]],0)),Input_APM!F65))</f>
        <v>QQQ US 02/06/26 P615</v>
      </c>
      <c r="M65" s="209" t="str">
        <f t="shared" si="1"/>
        <v>EQTY.IntlUS.off</v>
      </c>
      <c r="N65" s="210">
        <f t="shared" si="2"/>
        <v>-216</v>
      </c>
      <c r="O65" s="210">
        <f t="shared" si="3"/>
        <v>0</v>
      </c>
    </row>
    <row r="66" spans="5:15">
      <c r="E66" s="208" t="s">
        <v>324</v>
      </c>
      <c r="F66" s="208" t="s">
        <v>2471</v>
      </c>
      <c r="G66" s="208" t="s">
        <v>282</v>
      </c>
      <c r="H66" s="208">
        <v>216</v>
      </c>
      <c r="I66" s="208">
        <v>0</v>
      </c>
      <c r="K66" s="209" t="str">
        <f t="shared" si="0"/>
        <v>ETF Options</v>
      </c>
      <c r="L66" s="209" t="str">
        <f>IF(E66="","",IF(COUNTIFS(Table2[[#All],[De (Lote)]],Input_APM!F66)&gt;0,INDEX(Table2[[#All],[Para (Ticker Daniel)]],MATCH(Input_APM!F66,Table2[[#All],[De (Lote)]],0)),Input_APM!F66))</f>
        <v>QQQ US 02/06/26 P620</v>
      </c>
      <c r="M66" s="209" t="str">
        <f t="shared" si="1"/>
        <v>EQTY.IntlUS.off</v>
      </c>
      <c r="N66" s="210">
        <f t="shared" si="2"/>
        <v>216</v>
      </c>
      <c r="O66" s="210">
        <f t="shared" si="3"/>
        <v>0</v>
      </c>
    </row>
    <row r="67" spans="5:15">
      <c r="E67" s="208" t="s">
        <v>317</v>
      </c>
      <c r="F67" s="208" t="s">
        <v>2128</v>
      </c>
      <c r="G67" s="208" t="s">
        <v>282</v>
      </c>
      <c r="H67" s="208">
        <v>33235</v>
      </c>
      <c r="I67" s="208">
        <v>33235</v>
      </c>
      <c r="K67" s="209" t="str">
        <f t="shared" ref="K67:K130" si="4">IF(E67="","",E67)</f>
        <v>US Equity</v>
      </c>
      <c r="L67" s="209" t="str">
        <f>IF(E67="","",IF(COUNTIFS(Table2[[#All],[De (Lote)]],Input_APM!F67)&gt;0,INDEX(Table2[[#All],[Para (Ticker Daniel)]],MATCH(Input_APM!F67,Table2[[#All],[De (Lote)]],0)),Input_APM!F67))</f>
        <v>RIOT</v>
      </c>
      <c r="M67" s="209" t="str">
        <f t="shared" ref="M67:M130" si="5">IF(E67="","",G67)</f>
        <v>EQTY.IntlUS.off</v>
      </c>
      <c r="N67" s="210">
        <f t="shared" ref="N67:N130" si="6">IF(E67="","",H67)</f>
        <v>33235</v>
      </c>
      <c r="O67" s="210">
        <f t="shared" ref="O67:O130" si="7">IF(E67="","",I67)</f>
        <v>33235</v>
      </c>
    </row>
    <row r="68" spans="5:15">
      <c r="E68" s="208" t="s">
        <v>320</v>
      </c>
      <c r="F68" s="208" t="s">
        <v>3</v>
      </c>
      <c r="G68" s="208" t="s">
        <v>282</v>
      </c>
      <c r="H68" s="208">
        <v>0</v>
      </c>
      <c r="I68" s="208">
        <v>-44983</v>
      </c>
      <c r="K68" s="209" t="str">
        <f t="shared" si="4"/>
        <v>ETF</v>
      </c>
      <c r="L68" s="209" t="str">
        <f>IF(E68="","",IF(COUNTIFS(Table2[[#All],[De (Lote)]],Input_APM!F68)&gt;0,INDEX(Table2[[#All],[Para (Ticker Daniel)]],MATCH(Input_APM!F68,Table2[[#All],[De (Lote)]],0)),Input_APM!F68))</f>
        <v>RSP</v>
      </c>
      <c r="M68" s="209" t="str">
        <f t="shared" si="5"/>
        <v>EQTY.IntlUS.off</v>
      </c>
      <c r="N68" s="210">
        <f t="shared" si="6"/>
        <v>0</v>
      </c>
      <c r="O68" s="210">
        <f t="shared" si="7"/>
        <v>-44983</v>
      </c>
    </row>
    <row r="69" spans="5:15">
      <c r="E69" s="208" t="s">
        <v>2130</v>
      </c>
      <c r="F69" s="208" t="s">
        <v>2131</v>
      </c>
      <c r="G69" s="208" t="s">
        <v>282</v>
      </c>
      <c r="H69" s="208">
        <v>655</v>
      </c>
      <c r="I69" s="208">
        <v>655</v>
      </c>
      <c r="K69" s="209" t="str">
        <f t="shared" si="4"/>
        <v>Equity Total Return Swap</v>
      </c>
      <c r="L69" s="209" t="str">
        <f>IF(E69="","",IF(COUNTIFS(Table2[[#All],[De (Lote)]],Input_APM!F69)&gt;0,INDEX(Table2[[#All],[Para (Ticker Daniel)]],MATCH(Input_APM!F69,Table2[[#All],[De (Lote)]],0)),Input_APM!F69))</f>
        <v>000660 KS</v>
      </c>
      <c r="M69" s="209" t="str">
        <f t="shared" si="5"/>
        <v>EQTY.IntlUS.off</v>
      </c>
      <c r="N69" s="210">
        <f t="shared" si="6"/>
        <v>655</v>
      </c>
      <c r="O69" s="210">
        <f t="shared" si="7"/>
        <v>655</v>
      </c>
    </row>
    <row r="70" spans="5:15">
      <c r="E70" s="208" t="s">
        <v>2130</v>
      </c>
      <c r="F70" s="208" t="s">
        <v>2322</v>
      </c>
      <c r="G70" s="208" t="s">
        <v>282</v>
      </c>
      <c r="H70" s="208">
        <v>643</v>
      </c>
      <c r="I70" s="208">
        <v>643</v>
      </c>
      <c r="K70" s="209" t="str">
        <f t="shared" si="4"/>
        <v>Equity Total Return Swap</v>
      </c>
      <c r="L70" s="209" t="str">
        <f>IF(E70="","",IF(COUNTIFS(Table2[[#All],[De (Lote)]],Input_APM!F70)&gt;0,INDEX(Table2[[#All],[Para (Ticker Daniel)]],MATCH(Input_APM!F70,Table2[[#All],[De (Lote)]],0)),Input_APM!F70))</f>
        <v>SWAP 000660 KS 26JAN2026 26JAN2027 509.6192</v>
      </c>
      <c r="M70" s="209" t="str">
        <f t="shared" si="5"/>
        <v>EQTY.IntlUS.off</v>
      </c>
      <c r="N70" s="210">
        <f t="shared" si="6"/>
        <v>643</v>
      </c>
      <c r="O70" s="210">
        <f t="shared" si="7"/>
        <v>643</v>
      </c>
    </row>
    <row r="71" spans="5:15">
      <c r="E71" s="208" t="s">
        <v>2130</v>
      </c>
      <c r="F71" s="208" t="s">
        <v>2402</v>
      </c>
      <c r="G71" s="208" t="s">
        <v>282</v>
      </c>
      <c r="H71" s="208">
        <v>2470</v>
      </c>
      <c r="I71" s="208">
        <v>2470</v>
      </c>
      <c r="K71" s="209" t="str">
        <f t="shared" si="4"/>
        <v>Equity Total Return Swap</v>
      </c>
      <c r="L71" s="209" t="str">
        <f>IF(E71="","",IF(COUNTIFS(Table2[[#All],[De (Lote)]],Input_APM!F71)&gt;0,INDEX(Table2[[#All],[Para (Ticker Daniel)]],MATCH(Input_APM!F71,Table2[[#All],[De (Lote)]],0)),Input_APM!F71))</f>
        <v>SWAP 300502 CH 30JAN2026 01FEB2027 57.9966</v>
      </c>
      <c r="M71" s="209" t="str">
        <f t="shared" si="5"/>
        <v>EQTY.IntlUS.off</v>
      </c>
      <c r="N71" s="210">
        <f t="shared" si="6"/>
        <v>2470</v>
      </c>
      <c r="O71" s="210">
        <f t="shared" si="7"/>
        <v>2470</v>
      </c>
    </row>
    <row r="72" spans="5:15">
      <c r="E72" s="208" t="s">
        <v>2403</v>
      </c>
      <c r="F72" s="208" t="s">
        <v>2404</v>
      </c>
      <c r="G72" s="208" t="s">
        <v>282</v>
      </c>
      <c r="H72" s="208">
        <v>9090840</v>
      </c>
      <c r="I72" s="208">
        <v>9090840</v>
      </c>
      <c r="K72" s="209" t="str">
        <f t="shared" si="4"/>
        <v>TBOND</v>
      </c>
      <c r="L72" s="209" t="str">
        <f>IF(E72="","",IF(COUNTIFS(Table2[[#All],[De (Lote)]],Input_APM!F72)&gt;0,INDEX(Table2[[#All],[Para (Ticker Daniel)]],MATCH(Input_APM!F72,Table2[[#All],[De (Lote)]],0)),Input_APM!F72))</f>
        <v>T 4.000% 11/15/35</v>
      </c>
      <c r="M72" s="209" t="str">
        <f t="shared" si="5"/>
        <v>EQTY.IntlUS.off</v>
      </c>
      <c r="N72" s="210">
        <f t="shared" si="6"/>
        <v>9090840</v>
      </c>
      <c r="O72" s="210">
        <f t="shared" si="7"/>
        <v>9090840</v>
      </c>
    </row>
    <row r="73" spans="5:15">
      <c r="E73" s="208" t="s">
        <v>39</v>
      </c>
      <c r="F73" s="208" t="s">
        <v>96</v>
      </c>
      <c r="G73" s="208" t="s">
        <v>282</v>
      </c>
      <c r="H73" s="208">
        <v>708</v>
      </c>
      <c r="I73" s="208">
        <v>4838</v>
      </c>
      <c r="K73" s="209" t="str">
        <f t="shared" si="4"/>
        <v>ADR</v>
      </c>
      <c r="L73" s="209" t="str">
        <f>IF(E73="","",IF(COUNTIFS(Table2[[#All],[De (Lote)]],Input_APM!F73)&gt;0,INDEX(Table2[[#All],[Para (Ticker Daniel)]],MATCH(Input_APM!F73,Table2[[#All],[De (Lote)]],0)),Input_APM!F73))</f>
        <v>TSM</v>
      </c>
      <c r="M73" s="209" t="str">
        <f t="shared" si="5"/>
        <v>EQTY.IntlUS.off</v>
      </c>
      <c r="N73" s="210">
        <f t="shared" si="6"/>
        <v>708</v>
      </c>
      <c r="O73" s="210">
        <f t="shared" si="7"/>
        <v>4838</v>
      </c>
    </row>
    <row r="74" spans="5:15">
      <c r="E74" s="208" t="s">
        <v>327</v>
      </c>
      <c r="F74" s="208" t="s">
        <v>2225</v>
      </c>
      <c r="G74" s="208" t="s">
        <v>282</v>
      </c>
      <c r="H74" s="208">
        <v>1453</v>
      </c>
      <c r="I74" s="208">
        <v>1453</v>
      </c>
      <c r="K74" s="209" t="str">
        <f t="shared" si="4"/>
        <v>ADR Options</v>
      </c>
      <c r="L74" s="209" t="str">
        <f>IF(E74="","",IF(COUNTIFS(Table2[[#All],[De (Lote)]],Input_APM!F74)&gt;0,INDEX(Table2[[#All],[Para (Ticker Daniel)]],MATCH(Input_APM!F74,Table2[[#All],[De (Lote)]],0)),Input_APM!F74))</f>
        <v>TSM US 06/18/26 C340</v>
      </c>
      <c r="M74" s="209" t="str">
        <f t="shared" si="5"/>
        <v>EQTY.IntlUS.off</v>
      </c>
      <c r="N74" s="210">
        <f t="shared" si="6"/>
        <v>1453</v>
      </c>
      <c r="O74" s="210">
        <f t="shared" si="7"/>
        <v>1453</v>
      </c>
    </row>
    <row r="75" spans="5:15">
      <c r="E75" s="208" t="s">
        <v>327</v>
      </c>
      <c r="F75" s="208" t="s">
        <v>2226</v>
      </c>
      <c r="G75" s="208" t="s">
        <v>282</v>
      </c>
      <c r="H75" s="208">
        <v>-1195</v>
      </c>
      <c r="I75" s="208">
        <v>-1195</v>
      </c>
      <c r="K75" s="209" t="str">
        <f t="shared" si="4"/>
        <v>ADR Options</v>
      </c>
      <c r="L75" s="209" t="str">
        <f>IF(E75="","",IF(COUNTIFS(Table2[[#All],[De (Lote)]],Input_APM!F75)&gt;0,INDEX(Table2[[#All],[Para (Ticker Daniel)]],MATCH(Input_APM!F75,Table2[[#All],[De (Lote)]],0)),Input_APM!F75))</f>
        <v>TSM US 06/18/26 C380</v>
      </c>
      <c r="M75" s="209" t="str">
        <f t="shared" si="5"/>
        <v>EQTY.IntlUS.off</v>
      </c>
      <c r="N75" s="210">
        <f t="shared" si="6"/>
        <v>-1195</v>
      </c>
      <c r="O75" s="210">
        <f t="shared" si="7"/>
        <v>-1195</v>
      </c>
    </row>
    <row r="76" spans="5:15">
      <c r="E76" s="208" t="s">
        <v>320</v>
      </c>
      <c r="F76" s="208" t="s">
        <v>88</v>
      </c>
      <c r="G76" s="208" t="s">
        <v>282</v>
      </c>
      <c r="H76" s="208">
        <v>42865</v>
      </c>
      <c r="I76" s="208">
        <v>42865</v>
      </c>
      <c r="K76" s="209" t="str">
        <f t="shared" si="4"/>
        <v>ETF</v>
      </c>
      <c r="L76" s="209" t="str">
        <f>IF(E76="","",IF(COUNTIFS(Table2[[#All],[De (Lote)]],Input_APM!F76)&gt;0,INDEX(Table2[[#All],[Para (Ticker Daniel)]],MATCH(Input_APM!F76,Table2[[#All],[De (Lote)]],0)),Input_APM!F76))</f>
        <v>XLF</v>
      </c>
      <c r="M76" s="209" t="str">
        <f t="shared" si="5"/>
        <v>EQTY.IntlUS.off</v>
      </c>
      <c r="N76" s="210">
        <f t="shared" si="6"/>
        <v>42865</v>
      </c>
      <c r="O76" s="210">
        <f t="shared" si="7"/>
        <v>42865</v>
      </c>
    </row>
    <row r="77" spans="5:15">
      <c r="E77" s="208" t="s">
        <v>320</v>
      </c>
      <c r="F77" s="208" t="s">
        <v>4</v>
      </c>
      <c r="G77" s="208" t="s">
        <v>282</v>
      </c>
      <c r="H77" s="208">
        <v>-25765</v>
      </c>
      <c r="I77" s="208">
        <v>-25765</v>
      </c>
      <c r="K77" s="209" t="str">
        <f t="shared" si="4"/>
        <v>ETF</v>
      </c>
      <c r="L77" s="209" t="str">
        <f>IF(E77="","",IF(COUNTIFS(Table2[[#All],[De (Lote)]],Input_APM!F77)&gt;0,INDEX(Table2[[#All],[Para (Ticker Daniel)]],MATCH(Input_APM!F77,Table2[[#All],[De (Lote)]],0)),Input_APM!F77))</f>
        <v>XLP</v>
      </c>
      <c r="M77" s="209" t="str">
        <f t="shared" si="5"/>
        <v>EQTY.IntlUS.off</v>
      </c>
      <c r="N77" s="210">
        <f t="shared" si="6"/>
        <v>-25765</v>
      </c>
      <c r="O77" s="210">
        <f t="shared" si="7"/>
        <v>-25765</v>
      </c>
    </row>
    <row r="78" spans="5:15">
      <c r="E78" s="208" t="s">
        <v>317</v>
      </c>
      <c r="F78" s="208" t="s">
        <v>2442</v>
      </c>
      <c r="G78" s="208" t="s">
        <v>282</v>
      </c>
      <c r="H78" s="208">
        <v>-470</v>
      </c>
      <c r="I78" s="208">
        <v>-470</v>
      </c>
      <c r="K78" s="209" t="str">
        <f t="shared" si="4"/>
        <v>US Equity</v>
      </c>
      <c r="L78" s="209" t="str">
        <f>IF(E78="","",IF(COUNTIFS(Table2[[#All],[De (Lote)]],Input_APM!F78)&gt;0,INDEX(Table2[[#All],[Para (Ticker Daniel)]],MATCH(Input_APM!F78,Table2[[#All],[De (Lote)]],0)),Input_APM!F78))</f>
        <v>YSS</v>
      </c>
      <c r="M78" s="209" t="str">
        <f t="shared" si="5"/>
        <v>EQTY.IntlUS.off</v>
      </c>
      <c r="N78" s="210">
        <f t="shared" si="6"/>
        <v>-470</v>
      </c>
      <c r="O78" s="210">
        <f t="shared" si="7"/>
        <v>-470</v>
      </c>
    </row>
    <row r="79" spans="5:15">
      <c r="K79" s="209" t="str">
        <f t="shared" si="4"/>
        <v/>
      </c>
      <c r="L79" s="209" t="str">
        <f>IF(E79="","",IF(COUNTIFS(Table2[[#All],[De (Lote)]],Input_APM!F79)&gt;0,INDEX(Table2[[#All],[Para (Ticker Daniel)]],MATCH(Input_APM!F79,Table2[[#All],[De (Lote)]],0)),Input_APM!F79))</f>
        <v/>
      </c>
      <c r="M79" s="209" t="str">
        <f t="shared" si="5"/>
        <v/>
      </c>
      <c r="N79" s="210" t="str">
        <f t="shared" si="6"/>
        <v/>
      </c>
      <c r="O79" s="210" t="str">
        <f t="shared" si="7"/>
        <v/>
      </c>
    </row>
    <row r="80" spans="5:15">
      <c r="K80" s="209" t="str">
        <f t="shared" si="4"/>
        <v/>
      </c>
      <c r="L80" s="209" t="str">
        <f>IF(E80="","",IF(COUNTIFS(Table2[[#All],[De (Lote)]],Input_APM!F80)&gt;0,INDEX(Table2[[#All],[Para (Ticker Daniel)]],MATCH(Input_APM!F80,Table2[[#All],[De (Lote)]],0)),Input_APM!F80))</f>
        <v/>
      </c>
      <c r="M80" s="209" t="str">
        <f t="shared" si="5"/>
        <v/>
      </c>
      <c r="N80" s="210" t="str">
        <f t="shared" si="6"/>
        <v/>
      </c>
      <c r="O80" s="210" t="str">
        <f t="shared" si="7"/>
        <v/>
      </c>
    </row>
    <row r="81" spans="8:15">
      <c r="K81" s="209" t="str">
        <f t="shared" si="4"/>
        <v/>
      </c>
      <c r="L81" s="209" t="str">
        <f>IF(E81="","",IF(COUNTIFS(Table2[[#All],[De (Lote)]],Input_APM!F81)&gt;0,INDEX(Table2[[#All],[Para (Ticker Daniel)]],MATCH(Input_APM!F81,Table2[[#All],[De (Lote)]],0)),Input_APM!F81))</f>
        <v/>
      </c>
      <c r="M81" s="209" t="str">
        <f t="shared" si="5"/>
        <v/>
      </c>
      <c r="N81" s="210" t="str">
        <f t="shared" si="6"/>
        <v/>
      </c>
      <c r="O81" s="210" t="str">
        <f t="shared" si="7"/>
        <v/>
      </c>
    </row>
    <row r="82" spans="8:15">
      <c r="K82" s="209" t="str">
        <f t="shared" si="4"/>
        <v/>
      </c>
      <c r="L82" s="209" t="str">
        <f>IF(E82="","",IF(COUNTIFS(Table2[[#All],[De (Lote)]],Input_APM!F82)&gt;0,INDEX(Table2[[#All],[Para (Ticker Daniel)]],MATCH(Input_APM!F82,Table2[[#All],[De (Lote)]],0)),Input_APM!F82))</f>
        <v/>
      </c>
      <c r="M82" s="209" t="str">
        <f t="shared" si="5"/>
        <v/>
      </c>
      <c r="N82" s="210" t="str">
        <f t="shared" si="6"/>
        <v/>
      </c>
      <c r="O82" s="210" t="str">
        <f t="shared" si="7"/>
        <v/>
      </c>
    </row>
    <row r="83" spans="8:15">
      <c r="K83" s="209" t="str">
        <f t="shared" si="4"/>
        <v/>
      </c>
      <c r="L83" s="209" t="str">
        <f>IF(E83="","",IF(COUNTIFS(Table2[[#All],[De (Lote)]],Input_APM!F83)&gt;0,INDEX(Table2[[#All],[Para (Ticker Daniel)]],MATCH(Input_APM!F83,Table2[[#All],[De (Lote)]],0)),Input_APM!F83))</f>
        <v/>
      </c>
      <c r="M83" s="209" t="str">
        <f t="shared" si="5"/>
        <v/>
      </c>
      <c r="N83" s="210" t="str">
        <f t="shared" si="6"/>
        <v/>
      </c>
      <c r="O83" s="210" t="str">
        <f t="shared" si="7"/>
        <v/>
      </c>
    </row>
    <row r="84" spans="8:15">
      <c r="K84" s="209" t="str">
        <f t="shared" si="4"/>
        <v/>
      </c>
      <c r="L84" s="209" t="str">
        <f>IF(E84="","",IF(COUNTIFS(Table2[[#All],[De (Lote)]],Input_APM!F84)&gt;0,INDEX(Table2[[#All],[Para (Ticker Daniel)]],MATCH(Input_APM!F84,Table2[[#All],[De (Lote)]],0)),Input_APM!F84))</f>
        <v/>
      </c>
      <c r="M84" s="209" t="str">
        <f t="shared" si="5"/>
        <v/>
      </c>
      <c r="N84" s="210" t="str">
        <f t="shared" si="6"/>
        <v/>
      </c>
      <c r="O84" s="210" t="str">
        <f t="shared" si="7"/>
        <v/>
      </c>
    </row>
    <row r="85" spans="8:15">
      <c r="H85" s="220"/>
      <c r="K85" s="209" t="str">
        <f t="shared" si="4"/>
        <v/>
      </c>
      <c r="L85" s="209" t="str">
        <f>IF(E85="","",IF(COUNTIFS(Table2[[#All],[De (Lote)]],Input_APM!F85)&gt;0,INDEX(Table2[[#All],[Para (Ticker Daniel)]],MATCH(Input_APM!F85,Table2[[#All],[De (Lote)]],0)),Input_APM!F85))</f>
        <v/>
      </c>
      <c r="M85" s="209" t="str">
        <f t="shared" si="5"/>
        <v/>
      </c>
      <c r="N85" s="210" t="str">
        <f t="shared" si="6"/>
        <v/>
      </c>
      <c r="O85" s="210" t="str">
        <f t="shared" si="7"/>
        <v/>
      </c>
    </row>
    <row r="86" spans="8:15">
      <c r="H86" s="220"/>
      <c r="K86" s="209" t="str">
        <f t="shared" si="4"/>
        <v/>
      </c>
      <c r="L86" s="209" t="str">
        <f>IF(E86="","",IF(COUNTIFS(Table2[[#All],[De (Lote)]],Input_APM!F86)&gt;0,INDEX(Table2[[#All],[Para (Ticker Daniel)]],MATCH(Input_APM!F86,Table2[[#All],[De (Lote)]],0)),Input_APM!F86))</f>
        <v/>
      </c>
      <c r="M86" s="209" t="str">
        <f t="shared" si="5"/>
        <v/>
      </c>
      <c r="N86" s="210" t="str">
        <f t="shared" si="6"/>
        <v/>
      </c>
      <c r="O86" s="210" t="str">
        <f t="shared" si="7"/>
        <v/>
      </c>
    </row>
    <row r="87" spans="8:15">
      <c r="H87" s="220"/>
      <c r="K87" s="209" t="str">
        <f t="shared" si="4"/>
        <v/>
      </c>
      <c r="L87" s="209" t="str">
        <f>IF(E87="","",IF(COUNTIFS(Table2[[#All],[De (Lote)]],Input_APM!F87)&gt;0,INDEX(Table2[[#All],[Para (Ticker Daniel)]],MATCH(Input_APM!F87,Table2[[#All],[De (Lote)]],0)),Input_APM!F87))</f>
        <v/>
      </c>
      <c r="M87" s="209" t="str">
        <f t="shared" si="5"/>
        <v/>
      </c>
      <c r="N87" s="210" t="str">
        <f t="shared" si="6"/>
        <v/>
      </c>
      <c r="O87" s="210" t="str">
        <f t="shared" si="7"/>
        <v/>
      </c>
    </row>
    <row r="88" spans="8:15">
      <c r="K88" s="209" t="str">
        <f t="shared" si="4"/>
        <v/>
      </c>
      <c r="L88" s="209" t="str">
        <f>IF(E88="","",IF(COUNTIFS(Table2[[#All],[De (Lote)]],Input_APM!F88)&gt;0,INDEX(Table2[[#All],[Para (Ticker Daniel)]],MATCH(Input_APM!F88,Table2[[#All],[De (Lote)]],0)),Input_APM!F88))</f>
        <v/>
      </c>
      <c r="M88" s="209" t="str">
        <f t="shared" si="5"/>
        <v/>
      </c>
      <c r="N88" s="210" t="str">
        <f t="shared" si="6"/>
        <v/>
      </c>
      <c r="O88" s="210" t="str">
        <f t="shared" si="7"/>
        <v/>
      </c>
    </row>
    <row r="89" spans="8:15">
      <c r="K89" s="209" t="str">
        <f t="shared" si="4"/>
        <v/>
      </c>
      <c r="L89" s="209" t="str">
        <f>IF(E89="","",IF(COUNTIFS(Table2[[#All],[De (Lote)]],Input_APM!F89)&gt;0,INDEX(Table2[[#All],[Para (Ticker Daniel)]],MATCH(Input_APM!F89,Table2[[#All],[De (Lote)]],0)),Input_APM!F89))</f>
        <v/>
      </c>
      <c r="M89" s="209" t="str">
        <f t="shared" si="5"/>
        <v/>
      </c>
      <c r="N89" s="210" t="str">
        <f t="shared" si="6"/>
        <v/>
      </c>
      <c r="O89" s="210" t="str">
        <f t="shared" si="7"/>
        <v/>
      </c>
    </row>
    <row r="90" spans="8:15">
      <c r="K90" s="209" t="str">
        <f t="shared" si="4"/>
        <v/>
      </c>
      <c r="L90" s="209" t="str">
        <f>IF(E90="","",IF(COUNTIFS(Table2[[#All],[De (Lote)]],Input_APM!F90)&gt;0,INDEX(Table2[[#All],[Para (Ticker Daniel)]],MATCH(Input_APM!F90,Table2[[#All],[De (Lote)]],0)),Input_APM!F90))</f>
        <v/>
      </c>
      <c r="M90" s="209" t="str">
        <f t="shared" si="5"/>
        <v/>
      </c>
      <c r="N90" s="210" t="str">
        <f t="shared" si="6"/>
        <v/>
      </c>
      <c r="O90" s="210" t="str">
        <f t="shared" si="7"/>
        <v/>
      </c>
    </row>
    <row r="91" spans="8:15">
      <c r="K91" s="209" t="str">
        <f t="shared" si="4"/>
        <v/>
      </c>
      <c r="L91" s="209" t="str">
        <f>IF(E91="","",IF(COUNTIFS(Table2[[#All],[De (Lote)]],Input_APM!F91)&gt;0,INDEX(Table2[[#All],[Para (Ticker Daniel)]],MATCH(Input_APM!F91,Table2[[#All],[De (Lote)]],0)),Input_APM!F91))</f>
        <v/>
      </c>
      <c r="M91" s="209" t="str">
        <f t="shared" si="5"/>
        <v/>
      </c>
      <c r="N91" s="210" t="str">
        <f t="shared" si="6"/>
        <v/>
      </c>
      <c r="O91" s="210" t="str">
        <f t="shared" si="7"/>
        <v/>
      </c>
    </row>
    <row r="92" spans="8:15">
      <c r="H92" s="220"/>
      <c r="K92" s="209" t="str">
        <f t="shared" si="4"/>
        <v/>
      </c>
      <c r="L92" s="209" t="str">
        <f>IF(E92="","",IF(COUNTIFS(Table2[[#All],[De (Lote)]],Input_APM!F92)&gt;0,INDEX(Table2[[#All],[Para (Ticker Daniel)]],MATCH(Input_APM!F92,Table2[[#All],[De (Lote)]],0)),Input_APM!F92))</f>
        <v/>
      </c>
      <c r="M92" s="209" t="str">
        <f t="shared" si="5"/>
        <v/>
      </c>
      <c r="N92" s="210" t="str">
        <f t="shared" si="6"/>
        <v/>
      </c>
      <c r="O92" s="210" t="str">
        <f t="shared" si="7"/>
        <v/>
      </c>
    </row>
    <row r="93" spans="8:15">
      <c r="K93" s="209" t="str">
        <f t="shared" si="4"/>
        <v/>
      </c>
      <c r="L93" s="209" t="str">
        <f>IF(E93="","",IF(COUNTIFS(Table2[[#All],[De (Lote)]],Input_APM!F93)&gt;0,INDEX(Table2[[#All],[Para (Ticker Daniel)]],MATCH(Input_APM!F93,Table2[[#All],[De (Lote)]],0)),Input_APM!F93))</f>
        <v/>
      </c>
      <c r="M93" s="209" t="str">
        <f t="shared" si="5"/>
        <v/>
      </c>
      <c r="N93" s="210" t="str">
        <f t="shared" si="6"/>
        <v/>
      </c>
      <c r="O93" s="210" t="str">
        <f t="shared" si="7"/>
        <v/>
      </c>
    </row>
    <row r="94" spans="8:15">
      <c r="K94" s="209" t="str">
        <f t="shared" si="4"/>
        <v/>
      </c>
      <c r="L94" s="209" t="str">
        <f>IF(E94="","",IF(COUNTIFS(Table2[[#All],[De (Lote)]],Input_APM!F94)&gt;0,INDEX(Table2[[#All],[Para (Ticker Daniel)]],MATCH(Input_APM!F94,Table2[[#All],[De (Lote)]],0)),Input_APM!F94))</f>
        <v/>
      </c>
      <c r="M94" s="209" t="str">
        <f t="shared" si="5"/>
        <v/>
      </c>
      <c r="N94" s="210" t="str">
        <f t="shared" si="6"/>
        <v/>
      </c>
      <c r="O94" s="210" t="str">
        <f t="shared" si="7"/>
        <v/>
      </c>
    </row>
    <row r="95" spans="8:15">
      <c r="H95" s="220"/>
      <c r="K95" s="209" t="str">
        <f t="shared" si="4"/>
        <v/>
      </c>
      <c r="L95" s="209" t="str">
        <f>IF(E95="","",IF(COUNTIFS(Table2[[#All],[De (Lote)]],Input_APM!F95)&gt;0,INDEX(Table2[[#All],[Para (Ticker Daniel)]],MATCH(Input_APM!F95,Table2[[#All],[De (Lote)]],0)),Input_APM!F95))</f>
        <v/>
      </c>
      <c r="M95" s="209" t="str">
        <f t="shared" si="5"/>
        <v/>
      </c>
      <c r="N95" s="210" t="str">
        <f t="shared" si="6"/>
        <v/>
      </c>
      <c r="O95" s="210" t="str">
        <f t="shared" si="7"/>
        <v/>
      </c>
    </row>
    <row r="96" spans="8:15">
      <c r="K96" s="209" t="str">
        <f t="shared" si="4"/>
        <v/>
      </c>
      <c r="L96" s="209" t="str">
        <f>IF(E96="","",IF(COUNTIFS(Table2[[#All],[De (Lote)]],Input_APM!F96)&gt;0,INDEX(Table2[[#All],[Para (Ticker Daniel)]],MATCH(Input_APM!F96,Table2[[#All],[De (Lote)]],0)),Input_APM!F96))</f>
        <v/>
      </c>
      <c r="M96" s="209" t="str">
        <f t="shared" si="5"/>
        <v/>
      </c>
      <c r="N96" s="210" t="str">
        <f t="shared" si="6"/>
        <v/>
      </c>
      <c r="O96" s="210" t="str">
        <f t="shared" si="7"/>
        <v/>
      </c>
    </row>
    <row r="97" spans="11:15">
      <c r="K97" s="209" t="str">
        <f t="shared" si="4"/>
        <v/>
      </c>
      <c r="L97" s="209" t="str">
        <f>IF(E97="","",IF(COUNTIFS(Table2[[#All],[De (Lote)]],Input_APM!F97)&gt;0,INDEX(Table2[[#All],[Para (Ticker Daniel)]],MATCH(Input_APM!F97,Table2[[#All],[De (Lote)]],0)),Input_APM!F97))</f>
        <v/>
      </c>
      <c r="M97" s="209" t="str">
        <f t="shared" si="5"/>
        <v/>
      </c>
      <c r="N97" s="210" t="str">
        <f t="shared" si="6"/>
        <v/>
      </c>
      <c r="O97" s="210" t="str">
        <f t="shared" si="7"/>
        <v/>
      </c>
    </row>
    <row r="98" spans="11:15">
      <c r="K98" s="209" t="str">
        <f t="shared" si="4"/>
        <v/>
      </c>
      <c r="L98" s="209" t="str">
        <f>IF(E98="","",IF(COUNTIFS(Table2[[#All],[De (Lote)]],Input_APM!F98)&gt;0,INDEX(Table2[[#All],[Para (Ticker Daniel)]],MATCH(Input_APM!F98,Table2[[#All],[De (Lote)]],0)),Input_APM!F98))</f>
        <v/>
      </c>
      <c r="M98" s="209" t="str">
        <f t="shared" si="5"/>
        <v/>
      </c>
      <c r="N98" s="210" t="str">
        <f t="shared" si="6"/>
        <v/>
      </c>
      <c r="O98" s="210" t="str">
        <f t="shared" si="7"/>
        <v/>
      </c>
    </row>
    <row r="99" spans="11:15">
      <c r="K99" s="209" t="str">
        <f t="shared" si="4"/>
        <v/>
      </c>
      <c r="L99" s="209" t="str">
        <f>IF(E99="","",IF(COUNTIFS(Table2[[#All],[De (Lote)]],Input_APM!F99)&gt;0,INDEX(Table2[[#All],[Para (Ticker Daniel)]],MATCH(Input_APM!F99,Table2[[#All],[De (Lote)]],0)),Input_APM!F99))</f>
        <v/>
      </c>
      <c r="M99" s="209" t="str">
        <f t="shared" si="5"/>
        <v/>
      </c>
      <c r="N99" s="210" t="str">
        <f t="shared" si="6"/>
        <v/>
      </c>
      <c r="O99" s="210" t="str">
        <f t="shared" si="7"/>
        <v/>
      </c>
    </row>
    <row r="100" spans="11:15">
      <c r="K100" s="209" t="str">
        <f t="shared" si="4"/>
        <v/>
      </c>
      <c r="L100" s="209" t="str">
        <f>IF(E100="","",IF(COUNTIFS(Table2[[#All],[De (Lote)]],Input_APM!F100)&gt;0,INDEX(Table2[[#All],[Para (Ticker Daniel)]],MATCH(Input_APM!F100,Table2[[#All],[De (Lote)]],0)),Input_APM!F100))</f>
        <v/>
      </c>
      <c r="M100" s="209" t="str">
        <f t="shared" si="5"/>
        <v/>
      </c>
      <c r="N100" s="210" t="str">
        <f t="shared" si="6"/>
        <v/>
      </c>
      <c r="O100" s="210" t="str">
        <f t="shared" si="7"/>
        <v/>
      </c>
    </row>
    <row r="101" spans="11:15">
      <c r="K101" s="209" t="str">
        <f t="shared" si="4"/>
        <v/>
      </c>
      <c r="L101" s="209" t="str">
        <f>IF(E101="","",IF(COUNTIFS(Table2[[#All],[De (Lote)]],Input_APM!F101)&gt;0,INDEX(Table2[[#All],[Para (Ticker Daniel)]],MATCH(Input_APM!F101,Table2[[#All],[De (Lote)]],0)),Input_APM!F101))</f>
        <v/>
      </c>
      <c r="M101" s="209" t="str">
        <f t="shared" si="5"/>
        <v/>
      </c>
      <c r="N101" s="210" t="str">
        <f t="shared" si="6"/>
        <v/>
      </c>
      <c r="O101" s="210" t="str">
        <f t="shared" si="7"/>
        <v/>
      </c>
    </row>
    <row r="102" spans="11:15">
      <c r="K102" s="209" t="str">
        <f t="shared" si="4"/>
        <v/>
      </c>
      <c r="L102" s="209" t="str">
        <f>IF(E102="","",IF(COUNTIFS(Table2[[#All],[De (Lote)]],Input_APM!F102)&gt;0,INDEX(Table2[[#All],[Para (Ticker Daniel)]],MATCH(Input_APM!F102,Table2[[#All],[De (Lote)]],0)),Input_APM!F102))</f>
        <v/>
      </c>
      <c r="M102" s="209" t="str">
        <f t="shared" si="5"/>
        <v/>
      </c>
      <c r="N102" s="210" t="str">
        <f t="shared" si="6"/>
        <v/>
      </c>
      <c r="O102" s="210" t="str">
        <f t="shared" si="7"/>
        <v/>
      </c>
    </row>
    <row r="103" spans="11:15">
      <c r="K103" s="209" t="str">
        <f t="shared" si="4"/>
        <v/>
      </c>
      <c r="L103" s="209" t="str">
        <f>IF(E103="","",IF(COUNTIFS(Table2[[#All],[De (Lote)]],Input_APM!F103)&gt;0,INDEX(Table2[[#All],[Para (Ticker Daniel)]],MATCH(Input_APM!F103,Table2[[#All],[De (Lote)]],0)),Input_APM!F103))</f>
        <v/>
      </c>
      <c r="M103" s="209" t="str">
        <f t="shared" si="5"/>
        <v/>
      </c>
      <c r="N103" s="210" t="str">
        <f t="shared" si="6"/>
        <v/>
      </c>
      <c r="O103" s="210" t="str">
        <f t="shared" si="7"/>
        <v/>
      </c>
    </row>
    <row r="104" spans="11:15">
      <c r="K104" s="209" t="str">
        <f t="shared" si="4"/>
        <v/>
      </c>
      <c r="L104" s="209" t="str">
        <f>IF(E104="","",IF(COUNTIFS(Table2[[#All],[De (Lote)]],Input_APM!F104)&gt;0,INDEX(Table2[[#All],[Para (Ticker Daniel)]],MATCH(Input_APM!F104,Table2[[#All],[De (Lote)]],0)),Input_APM!F104))</f>
        <v/>
      </c>
      <c r="M104" s="209" t="str">
        <f t="shared" si="5"/>
        <v/>
      </c>
      <c r="N104" s="210" t="str">
        <f t="shared" si="6"/>
        <v/>
      </c>
      <c r="O104" s="210" t="str">
        <f t="shared" si="7"/>
        <v/>
      </c>
    </row>
    <row r="105" spans="11:15">
      <c r="K105" s="209" t="str">
        <f t="shared" si="4"/>
        <v/>
      </c>
      <c r="L105" s="209" t="str">
        <f>IF(E105="","",IF(COUNTIFS(Table2[[#All],[De (Lote)]],Input_APM!F105)&gt;0,INDEX(Table2[[#All],[Para (Ticker Daniel)]],MATCH(Input_APM!F105,Table2[[#All],[De (Lote)]],0)),Input_APM!F105))</f>
        <v/>
      </c>
      <c r="M105" s="209" t="str">
        <f t="shared" si="5"/>
        <v/>
      </c>
      <c r="N105" s="210" t="str">
        <f t="shared" si="6"/>
        <v/>
      </c>
      <c r="O105" s="210" t="str">
        <f t="shared" si="7"/>
        <v/>
      </c>
    </row>
    <row r="106" spans="11:15">
      <c r="K106" s="209" t="str">
        <f t="shared" si="4"/>
        <v/>
      </c>
      <c r="L106" s="209" t="str">
        <f>IF(E106="","",IF(COUNTIFS(Table2[[#All],[De (Lote)]],Input_APM!F106)&gt;0,INDEX(Table2[[#All],[Para (Ticker Daniel)]],MATCH(Input_APM!F106,Table2[[#All],[De (Lote)]],0)),Input_APM!F106))</f>
        <v/>
      </c>
      <c r="M106" s="209" t="str">
        <f t="shared" si="5"/>
        <v/>
      </c>
      <c r="N106" s="210" t="str">
        <f t="shared" si="6"/>
        <v/>
      </c>
      <c r="O106" s="210" t="str">
        <f t="shared" si="7"/>
        <v/>
      </c>
    </row>
    <row r="107" spans="11:15">
      <c r="K107" s="209" t="str">
        <f t="shared" si="4"/>
        <v/>
      </c>
      <c r="L107" s="209" t="str">
        <f>IF(E107="","",IF(COUNTIFS(Table2[[#All],[De (Lote)]],Input_APM!F107)&gt;0,INDEX(Table2[[#All],[Para (Ticker Daniel)]],MATCH(Input_APM!F107,Table2[[#All],[De (Lote)]],0)),Input_APM!F107))</f>
        <v/>
      </c>
      <c r="M107" s="209" t="str">
        <f t="shared" si="5"/>
        <v/>
      </c>
      <c r="N107" s="210" t="str">
        <f t="shared" si="6"/>
        <v/>
      </c>
      <c r="O107" s="210" t="str">
        <f t="shared" si="7"/>
        <v/>
      </c>
    </row>
    <row r="108" spans="11:15">
      <c r="K108" s="209" t="str">
        <f t="shared" si="4"/>
        <v/>
      </c>
      <c r="L108" s="209" t="str">
        <f>IF(E108="","",IF(COUNTIFS(Table2[[#All],[De (Lote)]],Input_APM!F108)&gt;0,INDEX(Table2[[#All],[Para (Ticker Daniel)]],MATCH(Input_APM!F108,Table2[[#All],[De (Lote)]],0)),Input_APM!F108))</f>
        <v/>
      </c>
      <c r="M108" s="209" t="str">
        <f t="shared" si="5"/>
        <v/>
      </c>
      <c r="N108" s="210" t="str">
        <f t="shared" si="6"/>
        <v/>
      </c>
      <c r="O108" s="210" t="str">
        <f t="shared" si="7"/>
        <v/>
      </c>
    </row>
    <row r="109" spans="11:15">
      <c r="K109" s="209" t="str">
        <f t="shared" si="4"/>
        <v/>
      </c>
      <c r="L109" s="209" t="str">
        <f>IF(E109="","",IF(COUNTIFS(Table2[[#All],[De (Lote)]],Input_APM!F109)&gt;0,INDEX(Table2[[#All],[Para (Ticker Daniel)]],MATCH(Input_APM!F109,Table2[[#All],[De (Lote)]],0)),Input_APM!F109))</f>
        <v/>
      </c>
      <c r="M109" s="209" t="str">
        <f t="shared" si="5"/>
        <v/>
      </c>
      <c r="N109" s="210" t="str">
        <f t="shared" si="6"/>
        <v/>
      </c>
      <c r="O109" s="210" t="str">
        <f t="shared" si="7"/>
        <v/>
      </c>
    </row>
    <row r="110" spans="11:15">
      <c r="K110" s="209" t="str">
        <f t="shared" si="4"/>
        <v/>
      </c>
      <c r="L110" s="209" t="str">
        <f>IF(E110="","",IF(COUNTIFS(Table2[[#All],[De (Lote)]],Input_APM!F110)&gt;0,INDEX(Table2[[#All],[Para (Ticker Daniel)]],MATCH(Input_APM!F110,Table2[[#All],[De (Lote)]],0)),Input_APM!F110))</f>
        <v/>
      </c>
      <c r="M110" s="209" t="str">
        <f t="shared" si="5"/>
        <v/>
      </c>
      <c r="N110" s="210" t="str">
        <f t="shared" si="6"/>
        <v/>
      </c>
      <c r="O110" s="210" t="str">
        <f t="shared" si="7"/>
        <v/>
      </c>
    </row>
    <row r="111" spans="11:15">
      <c r="K111" s="209" t="str">
        <f t="shared" si="4"/>
        <v/>
      </c>
      <c r="L111" s="209" t="str">
        <f>IF(E111="","",IF(COUNTIFS(Table2[[#All],[De (Lote)]],Input_APM!F111)&gt;0,INDEX(Table2[[#All],[Para (Ticker Daniel)]],MATCH(Input_APM!F111,Table2[[#All],[De (Lote)]],0)),Input_APM!F111))</f>
        <v/>
      </c>
      <c r="M111" s="209" t="str">
        <f t="shared" si="5"/>
        <v/>
      </c>
      <c r="N111" s="210" t="str">
        <f t="shared" si="6"/>
        <v/>
      </c>
      <c r="O111" s="210" t="str">
        <f t="shared" si="7"/>
        <v/>
      </c>
    </row>
    <row r="112" spans="11:15">
      <c r="K112" s="209" t="str">
        <f t="shared" si="4"/>
        <v/>
      </c>
      <c r="L112" s="209" t="str">
        <f>IF(E112="","",IF(COUNTIFS(Table2[[#All],[De (Lote)]],Input_APM!F112)&gt;0,INDEX(Table2[[#All],[Para (Ticker Daniel)]],MATCH(Input_APM!F112,Table2[[#All],[De (Lote)]],0)),Input_APM!F112))</f>
        <v/>
      </c>
      <c r="M112" s="209" t="str">
        <f t="shared" si="5"/>
        <v/>
      </c>
      <c r="N112" s="210" t="str">
        <f t="shared" si="6"/>
        <v/>
      </c>
      <c r="O112" s="210" t="str">
        <f t="shared" si="7"/>
        <v/>
      </c>
    </row>
    <row r="113" spans="11:15">
      <c r="K113" s="209" t="str">
        <f t="shared" si="4"/>
        <v/>
      </c>
      <c r="L113" s="209" t="str">
        <f>IF(E113="","",IF(COUNTIFS(Table2[[#All],[De (Lote)]],Input_APM!F113)&gt;0,INDEX(Table2[[#All],[Para (Ticker Daniel)]],MATCH(Input_APM!F113,Table2[[#All],[De (Lote)]],0)),Input_APM!F113))</f>
        <v/>
      </c>
      <c r="M113" s="209" t="str">
        <f t="shared" si="5"/>
        <v/>
      </c>
      <c r="N113" s="210" t="str">
        <f t="shared" si="6"/>
        <v/>
      </c>
      <c r="O113" s="210" t="str">
        <f t="shared" si="7"/>
        <v/>
      </c>
    </row>
    <row r="114" spans="11:15">
      <c r="K114" s="209" t="str">
        <f t="shared" si="4"/>
        <v/>
      </c>
      <c r="L114" s="209" t="str">
        <f>IF(E114="","",IF(COUNTIFS(Table2[[#All],[De (Lote)]],Input_APM!F114)&gt;0,INDEX(Table2[[#All],[Para (Ticker Daniel)]],MATCH(Input_APM!F114,Table2[[#All],[De (Lote)]],0)),Input_APM!F114))</f>
        <v/>
      </c>
      <c r="M114" s="209" t="str">
        <f t="shared" si="5"/>
        <v/>
      </c>
      <c r="N114" s="210" t="str">
        <f t="shared" si="6"/>
        <v/>
      </c>
      <c r="O114" s="210" t="str">
        <f t="shared" si="7"/>
        <v/>
      </c>
    </row>
    <row r="115" spans="11:15">
      <c r="K115" s="209" t="str">
        <f t="shared" si="4"/>
        <v/>
      </c>
      <c r="L115" s="209" t="str">
        <f>IF(E115="","",IF(COUNTIFS(Table2[[#All],[De (Lote)]],Input_APM!F115)&gt;0,INDEX(Table2[[#All],[Para (Ticker Daniel)]],MATCH(Input_APM!F115,Table2[[#All],[De (Lote)]],0)),Input_APM!F115))</f>
        <v/>
      </c>
      <c r="M115" s="209" t="str">
        <f t="shared" si="5"/>
        <v/>
      </c>
      <c r="N115" s="210" t="str">
        <f t="shared" si="6"/>
        <v/>
      </c>
      <c r="O115" s="210" t="str">
        <f t="shared" si="7"/>
        <v/>
      </c>
    </row>
    <row r="116" spans="11:15">
      <c r="K116" s="209" t="str">
        <f t="shared" si="4"/>
        <v/>
      </c>
      <c r="L116" s="209" t="str">
        <f>IF(E116="","",IF(COUNTIFS(Table2[[#All],[De (Lote)]],Input_APM!F116)&gt;0,INDEX(Table2[[#All],[Para (Ticker Daniel)]],MATCH(Input_APM!F116,Table2[[#All],[De (Lote)]],0)),Input_APM!F116))</f>
        <v/>
      </c>
      <c r="M116" s="209" t="str">
        <f t="shared" si="5"/>
        <v/>
      </c>
      <c r="N116" s="210" t="str">
        <f t="shared" si="6"/>
        <v/>
      </c>
      <c r="O116" s="210" t="str">
        <f t="shared" si="7"/>
        <v/>
      </c>
    </row>
    <row r="117" spans="11:15">
      <c r="K117" s="209" t="str">
        <f t="shared" si="4"/>
        <v/>
      </c>
      <c r="L117" s="209" t="str">
        <f>IF(E117="","",IF(COUNTIFS(Table2[[#All],[De (Lote)]],Input_APM!F117)&gt;0,INDEX(Table2[[#All],[Para (Ticker Daniel)]],MATCH(Input_APM!F117,Table2[[#All],[De (Lote)]],0)),Input_APM!F117))</f>
        <v/>
      </c>
      <c r="M117" s="209" t="str">
        <f t="shared" si="5"/>
        <v/>
      </c>
      <c r="N117" s="210" t="str">
        <f t="shared" si="6"/>
        <v/>
      </c>
      <c r="O117" s="210" t="str">
        <f t="shared" si="7"/>
        <v/>
      </c>
    </row>
    <row r="118" spans="11:15">
      <c r="K118" s="209" t="str">
        <f t="shared" si="4"/>
        <v/>
      </c>
      <c r="L118" s="209" t="str">
        <f>IF(E118="","",IF(COUNTIFS(Table2[[#All],[De (Lote)]],Input_APM!F118)&gt;0,INDEX(Table2[[#All],[Para (Ticker Daniel)]],MATCH(Input_APM!F118,Table2[[#All],[De (Lote)]],0)),Input_APM!F118))</f>
        <v/>
      </c>
      <c r="M118" s="209" t="str">
        <f t="shared" si="5"/>
        <v/>
      </c>
      <c r="N118" s="210" t="str">
        <f t="shared" si="6"/>
        <v/>
      </c>
      <c r="O118" s="210" t="str">
        <f t="shared" si="7"/>
        <v/>
      </c>
    </row>
    <row r="119" spans="11:15">
      <c r="K119" s="209" t="str">
        <f t="shared" si="4"/>
        <v/>
      </c>
      <c r="L119" s="209" t="str">
        <f>IF(E119="","",IF(COUNTIFS(Table2[[#All],[De (Lote)]],Input_APM!F119)&gt;0,INDEX(Table2[[#All],[Para (Ticker Daniel)]],MATCH(Input_APM!F119,Table2[[#All],[De (Lote)]],0)),Input_APM!F119))</f>
        <v/>
      </c>
      <c r="M119" s="209" t="str">
        <f t="shared" si="5"/>
        <v/>
      </c>
      <c r="N119" s="210" t="str">
        <f t="shared" si="6"/>
        <v/>
      </c>
      <c r="O119" s="210" t="str">
        <f t="shared" si="7"/>
        <v/>
      </c>
    </row>
    <row r="120" spans="11:15">
      <c r="K120" s="209" t="str">
        <f t="shared" si="4"/>
        <v/>
      </c>
      <c r="L120" s="209" t="str">
        <f>IF(E120="","",IF(COUNTIFS(Table2[[#All],[De (Lote)]],Input_APM!F120)&gt;0,INDEX(Table2[[#All],[Para (Ticker Daniel)]],MATCH(Input_APM!F120,Table2[[#All],[De (Lote)]],0)),Input_APM!F120))</f>
        <v/>
      </c>
      <c r="M120" s="209" t="str">
        <f t="shared" si="5"/>
        <v/>
      </c>
      <c r="N120" s="210" t="str">
        <f t="shared" si="6"/>
        <v/>
      </c>
      <c r="O120" s="210" t="str">
        <f t="shared" si="7"/>
        <v/>
      </c>
    </row>
    <row r="121" spans="11:15">
      <c r="K121" s="209" t="str">
        <f t="shared" si="4"/>
        <v/>
      </c>
      <c r="L121" s="209" t="str">
        <f>IF(E121="","",IF(COUNTIFS(Table2[[#All],[De (Lote)]],Input_APM!F121)&gt;0,INDEX(Table2[[#All],[Para (Ticker Daniel)]],MATCH(Input_APM!F121,Table2[[#All],[De (Lote)]],0)),Input_APM!F121))</f>
        <v/>
      </c>
      <c r="M121" s="209" t="str">
        <f t="shared" si="5"/>
        <v/>
      </c>
      <c r="N121" s="210" t="str">
        <f t="shared" si="6"/>
        <v/>
      </c>
      <c r="O121" s="210" t="str">
        <f t="shared" si="7"/>
        <v/>
      </c>
    </row>
    <row r="122" spans="11:15">
      <c r="K122" s="209" t="str">
        <f t="shared" si="4"/>
        <v/>
      </c>
      <c r="L122" s="209" t="str">
        <f>IF(E122="","",IF(COUNTIFS(Table2[[#All],[De (Lote)]],Input_APM!F122)&gt;0,INDEX(Table2[[#All],[Para (Ticker Daniel)]],MATCH(Input_APM!F122,Table2[[#All],[De (Lote)]],0)),Input_APM!F122))</f>
        <v/>
      </c>
      <c r="M122" s="209" t="str">
        <f t="shared" si="5"/>
        <v/>
      </c>
      <c r="N122" s="210" t="str">
        <f t="shared" si="6"/>
        <v/>
      </c>
      <c r="O122" s="210" t="str">
        <f t="shared" si="7"/>
        <v/>
      </c>
    </row>
    <row r="123" spans="11:15">
      <c r="K123" s="209" t="str">
        <f t="shared" si="4"/>
        <v/>
      </c>
      <c r="L123" s="209" t="str">
        <f>IF(E123="","",IF(COUNTIFS(Table2[[#All],[De (Lote)]],Input_APM!F123)&gt;0,INDEX(Table2[[#All],[Para (Ticker Daniel)]],MATCH(Input_APM!F123,Table2[[#All],[De (Lote)]],0)),Input_APM!F123))</f>
        <v/>
      </c>
      <c r="M123" s="209" t="str">
        <f t="shared" si="5"/>
        <v/>
      </c>
      <c r="N123" s="210" t="str">
        <f t="shared" si="6"/>
        <v/>
      </c>
      <c r="O123" s="210" t="str">
        <f t="shared" si="7"/>
        <v/>
      </c>
    </row>
    <row r="124" spans="11:15">
      <c r="K124" s="209" t="str">
        <f t="shared" si="4"/>
        <v/>
      </c>
      <c r="L124" s="209" t="str">
        <f>IF(E124="","",IF(COUNTIFS(Table2[[#All],[De (Lote)]],Input_APM!F124)&gt;0,INDEX(Table2[[#All],[Para (Ticker Daniel)]],MATCH(Input_APM!F124,Table2[[#All],[De (Lote)]],0)),Input_APM!F124))</f>
        <v/>
      </c>
      <c r="M124" s="209" t="str">
        <f t="shared" si="5"/>
        <v/>
      </c>
      <c r="N124" s="210" t="str">
        <f t="shared" si="6"/>
        <v/>
      </c>
      <c r="O124" s="210" t="str">
        <f t="shared" si="7"/>
        <v/>
      </c>
    </row>
    <row r="125" spans="11:15">
      <c r="K125" s="209" t="str">
        <f t="shared" si="4"/>
        <v/>
      </c>
      <c r="L125" s="209" t="str">
        <f>IF(E125="","",IF(COUNTIFS(Table2[[#All],[De (Lote)]],Input_APM!F125)&gt;0,INDEX(Table2[[#All],[Para (Ticker Daniel)]],MATCH(Input_APM!F125,Table2[[#All],[De (Lote)]],0)),Input_APM!F125))</f>
        <v/>
      </c>
      <c r="M125" s="209" t="str">
        <f t="shared" si="5"/>
        <v/>
      </c>
      <c r="N125" s="210" t="str">
        <f t="shared" si="6"/>
        <v/>
      </c>
      <c r="O125" s="210" t="str">
        <f t="shared" si="7"/>
        <v/>
      </c>
    </row>
    <row r="126" spans="11:15">
      <c r="K126" s="209" t="str">
        <f t="shared" si="4"/>
        <v/>
      </c>
      <c r="L126" s="209" t="str">
        <f>IF(E126="","",IF(COUNTIFS(Table2[[#All],[De (Lote)]],Input_APM!F126)&gt;0,INDEX(Table2[[#All],[Para (Ticker Daniel)]],MATCH(Input_APM!F126,Table2[[#All],[De (Lote)]],0)),Input_APM!F126))</f>
        <v/>
      </c>
      <c r="M126" s="209" t="str">
        <f t="shared" si="5"/>
        <v/>
      </c>
      <c r="N126" s="210" t="str">
        <f t="shared" si="6"/>
        <v/>
      </c>
      <c r="O126" s="210" t="str">
        <f t="shared" si="7"/>
        <v/>
      </c>
    </row>
    <row r="127" spans="11:15">
      <c r="K127" s="209" t="str">
        <f t="shared" si="4"/>
        <v/>
      </c>
      <c r="L127" s="209" t="str">
        <f>IF(E127="","",IF(COUNTIFS(Table2[[#All],[De (Lote)]],Input_APM!F127)&gt;0,INDEX(Table2[[#All],[Para (Ticker Daniel)]],MATCH(Input_APM!F127,Table2[[#All],[De (Lote)]],0)),Input_APM!F127))</f>
        <v/>
      </c>
      <c r="M127" s="209" t="str">
        <f t="shared" si="5"/>
        <v/>
      </c>
      <c r="N127" s="210" t="str">
        <f t="shared" si="6"/>
        <v/>
      </c>
      <c r="O127" s="210" t="str">
        <f t="shared" si="7"/>
        <v/>
      </c>
    </row>
    <row r="128" spans="11:15">
      <c r="K128" s="209" t="str">
        <f t="shared" si="4"/>
        <v/>
      </c>
      <c r="L128" s="209" t="str">
        <f>IF(E128="","",IF(COUNTIFS(Table2[[#All],[De (Lote)]],Input_APM!F128)&gt;0,INDEX(Table2[[#All],[Para (Ticker Daniel)]],MATCH(Input_APM!F128,Table2[[#All],[De (Lote)]],0)),Input_APM!F128))</f>
        <v/>
      </c>
      <c r="M128" s="209" t="str">
        <f t="shared" si="5"/>
        <v/>
      </c>
      <c r="N128" s="210" t="str">
        <f t="shared" si="6"/>
        <v/>
      </c>
      <c r="O128" s="210" t="str">
        <f t="shared" si="7"/>
        <v/>
      </c>
    </row>
    <row r="129" spans="11:15">
      <c r="K129" s="209" t="str">
        <f t="shared" si="4"/>
        <v/>
      </c>
      <c r="L129" s="209" t="str">
        <f>IF(E129="","",IF(COUNTIFS(Table2[[#All],[De (Lote)]],Input_APM!F129)&gt;0,INDEX(Table2[[#All],[Para (Ticker Daniel)]],MATCH(Input_APM!F129,Table2[[#All],[De (Lote)]],0)),Input_APM!F129))</f>
        <v/>
      </c>
      <c r="M129" s="209" t="str">
        <f t="shared" si="5"/>
        <v/>
      </c>
      <c r="N129" s="210" t="str">
        <f t="shared" si="6"/>
        <v/>
      </c>
      <c r="O129" s="210" t="str">
        <f t="shared" si="7"/>
        <v/>
      </c>
    </row>
    <row r="130" spans="11:15">
      <c r="K130" s="209" t="str">
        <f t="shared" si="4"/>
        <v/>
      </c>
      <c r="L130" s="209" t="str">
        <f>IF(E130="","",IF(COUNTIFS(Table2[[#All],[De (Lote)]],Input_APM!F130)&gt;0,INDEX(Table2[[#All],[Para (Ticker Daniel)]],MATCH(Input_APM!F130,Table2[[#All],[De (Lote)]],0)),Input_APM!F130))</f>
        <v/>
      </c>
      <c r="M130" s="209" t="str">
        <f t="shared" si="5"/>
        <v/>
      </c>
      <c r="N130" s="210" t="str">
        <f t="shared" si="6"/>
        <v/>
      </c>
      <c r="O130" s="210" t="str">
        <f t="shared" si="7"/>
        <v/>
      </c>
    </row>
    <row r="131" spans="11:15">
      <c r="K131" s="209" t="str">
        <f t="shared" ref="K131:K148" si="8">IF(E131="","",E131)</f>
        <v/>
      </c>
      <c r="L131" s="209" t="str">
        <f>IF(E131="","",IF(COUNTIFS(Table2[[#All],[De (Lote)]],Input_APM!F131)&gt;0,INDEX(Table2[[#All],[Para (Ticker Daniel)]],MATCH(Input_APM!F131,Table2[[#All],[De (Lote)]],0)),Input_APM!F131))</f>
        <v/>
      </c>
      <c r="M131" s="209" t="str">
        <f t="shared" ref="M131:M148" si="9">IF(E131="","",G131)</f>
        <v/>
      </c>
      <c r="N131" s="210" t="str">
        <f t="shared" ref="N131:N148" si="10">IF(E131="","",H131)</f>
        <v/>
      </c>
      <c r="O131" s="210" t="str">
        <f t="shared" ref="O131:O148" si="11">IF(E131="","",I131)</f>
        <v/>
      </c>
    </row>
    <row r="132" spans="11:15">
      <c r="K132" s="209" t="str">
        <f t="shared" si="8"/>
        <v/>
      </c>
      <c r="L132" s="209" t="str">
        <f>IF(E132="","",IF(COUNTIFS(Table2[[#All],[De (Lote)]],Input_APM!F132)&gt;0,INDEX(Table2[[#All],[Para (Ticker Daniel)]],MATCH(Input_APM!F132,Table2[[#All],[De (Lote)]],0)),Input_APM!F132))</f>
        <v/>
      </c>
      <c r="M132" s="209" t="str">
        <f t="shared" si="9"/>
        <v/>
      </c>
      <c r="N132" s="210" t="str">
        <f t="shared" si="10"/>
        <v/>
      </c>
      <c r="O132" s="210" t="str">
        <f t="shared" si="11"/>
        <v/>
      </c>
    </row>
    <row r="133" spans="11:15">
      <c r="K133" s="209" t="str">
        <f t="shared" si="8"/>
        <v/>
      </c>
      <c r="L133" s="209" t="str">
        <f>IF(E133="","",IF(COUNTIFS(Table2[[#All],[De (Lote)]],Input_APM!F133)&gt;0,INDEX(Table2[[#All],[Para (Ticker Daniel)]],MATCH(Input_APM!F133,Table2[[#All],[De (Lote)]],0)),Input_APM!F133))</f>
        <v/>
      </c>
      <c r="M133" s="209" t="str">
        <f t="shared" si="9"/>
        <v/>
      </c>
      <c r="N133" s="210" t="str">
        <f t="shared" si="10"/>
        <v/>
      </c>
      <c r="O133" s="210" t="str">
        <f t="shared" si="11"/>
        <v/>
      </c>
    </row>
    <row r="134" spans="11:15">
      <c r="K134" s="209" t="str">
        <f t="shared" si="8"/>
        <v/>
      </c>
      <c r="L134" s="209" t="str">
        <f>IF(E134="","",IF(COUNTIFS(Table2[[#All],[De (Lote)]],Input_APM!F134)&gt;0,INDEX(Table2[[#All],[Para (Ticker Daniel)]],MATCH(Input_APM!F134,Table2[[#All],[De (Lote)]],0)),Input_APM!F134))</f>
        <v/>
      </c>
      <c r="M134" s="209" t="str">
        <f t="shared" si="9"/>
        <v/>
      </c>
      <c r="N134" s="210" t="str">
        <f t="shared" si="10"/>
        <v/>
      </c>
      <c r="O134" s="210" t="str">
        <f t="shared" si="11"/>
        <v/>
      </c>
    </row>
    <row r="135" spans="11:15">
      <c r="K135" s="209" t="str">
        <f t="shared" si="8"/>
        <v/>
      </c>
      <c r="L135" s="209" t="str">
        <f>IF(E135="","",IF(COUNTIFS(Table2[[#All],[De (Lote)]],Input_APM!F135)&gt;0,INDEX(Table2[[#All],[Para (Ticker Daniel)]],MATCH(Input_APM!F135,Table2[[#All],[De (Lote)]],0)),Input_APM!F135))</f>
        <v/>
      </c>
      <c r="M135" s="209" t="str">
        <f t="shared" si="9"/>
        <v/>
      </c>
      <c r="N135" s="210" t="str">
        <f t="shared" si="10"/>
        <v/>
      </c>
      <c r="O135" s="210" t="str">
        <f t="shared" si="11"/>
        <v/>
      </c>
    </row>
    <row r="136" spans="11:15">
      <c r="K136" s="209" t="str">
        <f t="shared" si="8"/>
        <v/>
      </c>
      <c r="L136" s="209" t="str">
        <f>IF(E136="","",IF(COUNTIFS(Table2[[#All],[De (Lote)]],Input_APM!F136)&gt;0,INDEX(Table2[[#All],[Para (Ticker Daniel)]],MATCH(Input_APM!F136,Table2[[#All],[De (Lote)]],0)),Input_APM!F136))</f>
        <v/>
      </c>
      <c r="M136" s="209" t="str">
        <f t="shared" si="9"/>
        <v/>
      </c>
      <c r="N136" s="210" t="str">
        <f t="shared" si="10"/>
        <v/>
      </c>
      <c r="O136" s="210" t="str">
        <f t="shared" si="11"/>
        <v/>
      </c>
    </row>
    <row r="137" spans="11:15">
      <c r="K137" s="209" t="str">
        <f t="shared" si="8"/>
        <v/>
      </c>
      <c r="L137" s="209" t="str">
        <f>IF(E137="","",IF(COUNTIFS(Table2[[#All],[De (Lote)]],Input_APM!F137)&gt;0,INDEX(Table2[[#All],[Para (Ticker Daniel)]],MATCH(Input_APM!F137,Table2[[#All],[De (Lote)]],0)),Input_APM!F137))</f>
        <v/>
      </c>
      <c r="M137" s="209" t="str">
        <f t="shared" si="9"/>
        <v/>
      </c>
      <c r="N137" s="210" t="str">
        <f t="shared" si="10"/>
        <v/>
      </c>
      <c r="O137" s="210" t="str">
        <f t="shared" si="11"/>
        <v/>
      </c>
    </row>
    <row r="138" spans="11:15">
      <c r="K138" s="209" t="str">
        <f t="shared" si="8"/>
        <v/>
      </c>
      <c r="L138" s="209" t="str">
        <f>IF(E138="","",IF(COUNTIFS(Table2[[#All],[De (Lote)]],Input_APM!F138)&gt;0,INDEX(Table2[[#All],[Para (Ticker Daniel)]],MATCH(Input_APM!F138,Table2[[#All],[De (Lote)]],0)),Input_APM!F138))</f>
        <v/>
      </c>
      <c r="M138" s="209" t="str">
        <f t="shared" si="9"/>
        <v/>
      </c>
      <c r="N138" s="210" t="str">
        <f t="shared" si="10"/>
        <v/>
      </c>
      <c r="O138" s="210" t="str">
        <f t="shared" si="11"/>
        <v/>
      </c>
    </row>
    <row r="139" spans="11:15">
      <c r="K139" s="209" t="str">
        <f t="shared" si="8"/>
        <v/>
      </c>
      <c r="L139" s="209" t="str">
        <f>IF(E139="","",IF(COUNTIFS(Table2[[#All],[De (Lote)]],Input_APM!F139)&gt;0,INDEX(Table2[[#All],[Para (Ticker Daniel)]],MATCH(Input_APM!F139,Table2[[#All],[De (Lote)]],0)),Input_APM!F139))</f>
        <v/>
      </c>
      <c r="M139" s="209" t="str">
        <f t="shared" si="9"/>
        <v/>
      </c>
      <c r="N139" s="210" t="str">
        <f t="shared" si="10"/>
        <v/>
      </c>
      <c r="O139" s="210" t="str">
        <f t="shared" si="11"/>
        <v/>
      </c>
    </row>
    <row r="140" spans="11:15">
      <c r="K140" s="209" t="str">
        <f t="shared" si="8"/>
        <v/>
      </c>
      <c r="L140" s="209" t="str">
        <f>IF(E140="","",IF(COUNTIFS(Table2[[#All],[De (Lote)]],Input_APM!F140)&gt;0,INDEX(Table2[[#All],[Para (Ticker Daniel)]],MATCH(Input_APM!F140,Table2[[#All],[De (Lote)]],0)),Input_APM!F140))</f>
        <v/>
      </c>
      <c r="M140" s="209" t="str">
        <f t="shared" si="9"/>
        <v/>
      </c>
      <c r="N140" s="210" t="str">
        <f t="shared" si="10"/>
        <v/>
      </c>
      <c r="O140" s="210" t="str">
        <f t="shared" si="11"/>
        <v/>
      </c>
    </row>
    <row r="141" spans="11:15">
      <c r="K141" s="209" t="str">
        <f t="shared" si="8"/>
        <v/>
      </c>
      <c r="L141" s="209" t="str">
        <f>IF(E141="","",IF(COUNTIFS(Table2[[#All],[De (Lote)]],Input_APM!F141)&gt;0,INDEX(Table2[[#All],[Para (Ticker Daniel)]],MATCH(Input_APM!F141,Table2[[#All],[De (Lote)]],0)),Input_APM!F141))</f>
        <v/>
      </c>
      <c r="M141" s="209" t="str">
        <f t="shared" si="9"/>
        <v/>
      </c>
      <c r="N141" s="210" t="str">
        <f t="shared" si="10"/>
        <v/>
      </c>
      <c r="O141" s="210" t="str">
        <f t="shared" si="11"/>
        <v/>
      </c>
    </row>
    <row r="142" spans="11:15">
      <c r="K142" s="209" t="str">
        <f t="shared" si="8"/>
        <v/>
      </c>
      <c r="L142" s="209" t="str">
        <f>IF(E142="","",IF(COUNTIFS(Table2[[#All],[De (Lote)]],Input_APM!F142)&gt;0,INDEX(Table2[[#All],[Para (Ticker Daniel)]],MATCH(Input_APM!F142,Table2[[#All],[De (Lote)]],0)),Input_APM!F142))</f>
        <v/>
      </c>
      <c r="M142" s="209" t="str">
        <f t="shared" si="9"/>
        <v/>
      </c>
      <c r="N142" s="210" t="str">
        <f t="shared" si="10"/>
        <v/>
      </c>
      <c r="O142" s="210" t="str">
        <f t="shared" si="11"/>
        <v/>
      </c>
    </row>
    <row r="143" spans="11:15">
      <c r="K143" s="209" t="str">
        <f t="shared" si="8"/>
        <v/>
      </c>
      <c r="L143" s="209" t="str">
        <f>IF(E143="","",IF(COUNTIFS(Table2[[#All],[De (Lote)]],Input_APM!F143)&gt;0,INDEX(Table2[[#All],[Para (Ticker Daniel)]],MATCH(Input_APM!F143,Table2[[#All],[De (Lote)]],0)),Input_APM!F143))</f>
        <v/>
      </c>
      <c r="M143" s="209" t="str">
        <f t="shared" si="9"/>
        <v/>
      </c>
      <c r="N143" s="210" t="str">
        <f t="shared" si="10"/>
        <v/>
      </c>
      <c r="O143" s="210" t="str">
        <f t="shared" si="11"/>
        <v/>
      </c>
    </row>
    <row r="144" spans="11:15">
      <c r="K144" s="209" t="str">
        <f t="shared" si="8"/>
        <v/>
      </c>
      <c r="L144" s="209" t="str">
        <f>IF(E144="","",IF(COUNTIFS(Table2[[#All],[De (Lote)]],Input_APM!F144)&gt;0,INDEX(Table2[[#All],[Para (Ticker Daniel)]],MATCH(Input_APM!F144,Table2[[#All],[De (Lote)]],0)),Input_APM!F144))</f>
        <v/>
      </c>
      <c r="M144" s="209" t="str">
        <f t="shared" si="9"/>
        <v/>
      </c>
      <c r="N144" s="210" t="str">
        <f t="shared" si="10"/>
        <v/>
      </c>
      <c r="O144" s="210" t="str">
        <f t="shared" si="11"/>
        <v/>
      </c>
    </row>
    <row r="145" spans="11:15">
      <c r="K145" s="209" t="str">
        <f t="shared" si="8"/>
        <v/>
      </c>
      <c r="L145" s="209" t="str">
        <f>IF(E145="","",IF(COUNTIFS(Table2[[#All],[De (Lote)]],Input_APM!F145)&gt;0,INDEX(Table2[[#All],[Para (Ticker Daniel)]],MATCH(Input_APM!F145,Table2[[#All],[De (Lote)]],0)),Input_APM!F145))</f>
        <v/>
      </c>
      <c r="M145" s="209" t="str">
        <f t="shared" si="9"/>
        <v/>
      </c>
      <c r="N145" s="210" t="str">
        <f t="shared" si="10"/>
        <v/>
      </c>
      <c r="O145" s="210" t="str">
        <f t="shared" si="11"/>
        <v/>
      </c>
    </row>
    <row r="146" spans="11:15">
      <c r="K146" s="209" t="str">
        <f t="shared" si="8"/>
        <v/>
      </c>
      <c r="L146" s="209" t="str">
        <f>IF(E146="","",IF(COUNTIFS(Table2[[#All],[De (Lote)]],Input_APM!F146)&gt;0,INDEX(Table2[[#All],[Para (Ticker Daniel)]],MATCH(Input_APM!F146,Table2[[#All],[De (Lote)]],0)),Input_APM!F146))</f>
        <v/>
      </c>
      <c r="M146" s="209" t="str">
        <f t="shared" si="9"/>
        <v/>
      </c>
      <c r="N146" s="210" t="str">
        <f t="shared" si="10"/>
        <v/>
      </c>
      <c r="O146" s="210" t="str">
        <f t="shared" si="11"/>
        <v/>
      </c>
    </row>
    <row r="147" spans="11:15">
      <c r="K147" s="209" t="str">
        <f t="shared" si="8"/>
        <v/>
      </c>
      <c r="L147" s="209" t="str">
        <f>IF(E147="","",IF(COUNTIFS(Table2[[#All],[De (Lote)]],Input_APM!F147)&gt;0,INDEX(Table2[[#All],[Para (Ticker Daniel)]],MATCH(Input_APM!F147,Table2[[#All],[De (Lote)]],0)),Input_APM!F147))</f>
        <v/>
      </c>
      <c r="M147" s="209" t="str">
        <f t="shared" si="9"/>
        <v/>
      </c>
      <c r="N147" s="210" t="str">
        <f t="shared" si="10"/>
        <v/>
      </c>
      <c r="O147" s="210" t="str">
        <f t="shared" si="11"/>
        <v/>
      </c>
    </row>
    <row r="148" spans="11:15">
      <c r="K148" s="209" t="str">
        <f t="shared" si="8"/>
        <v/>
      </c>
      <c r="L148" s="209" t="str">
        <f>IF(E148="","",IF(COUNTIFS(Table2[[#All],[De (Lote)]],Input_APM!F148)&gt;0,INDEX(Table2[[#All],[Para (Ticker Daniel)]],MATCH(Input_APM!F148,Table2[[#All],[De (Lote)]],0)),Input_APM!F148))</f>
        <v/>
      </c>
      <c r="M148" s="209" t="str">
        <f t="shared" si="9"/>
        <v/>
      </c>
      <c r="N148" s="210" t="str">
        <f t="shared" si="10"/>
        <v/>
      </c>
      <c r="O148" s="210" t="str">
        <f t="shared" si="11"/>
        <v/>
      </c>
    </row>
    <row r="149" spans="11:15">
      <c r="K149" s="209" t="str">
        <f t="shared" ref="K149:K207" si="12">IF(E149="","",E149)</f>
        <v/>
      </c>
      <c r="L149" s="209" t="str">
        <f>IF(E149="","",IF(COUNTIFS(Table2[[#All],[De (Lote)]],Input_APM!F149)&gt;0,INDEX(Table2[[#All],[Para (Ticker Daniel)]],MATCH(Input_APM!F149,Table2[[#All],[De (Lote)]],0)),Input_APM!F149))</f>
        <v/>
      </c>
      <c r="M149" s="209" t="str">
        <f t="shared" ref="M149:M207" si="13">IF(E149="","",G149)</f>
        <v/>
      </c>
      <c r="N149" s="210" t="str">
        <f t="shared" ref="N149:N207" si="14">IF(E149="","",H149)</f>
        <v/>
      </c>
      <c r="O149" s="210" t="str">
        <f t="shared" ref="O149:O207" si="15">IF(E149="","",I149)</f>
        <v/>
      </c>
    </row>
    <row r="150" spans="11:15">
      <c r="K150" s="209" t="str">
        <f t="shared" si="12"/>
        <v/>
      </c>
      <c r="L150" s="209" t="str">
        <f>IF(E150="","",IF(COUNTIFS(Table2[[#All],[De (Lote)]],Input_APM!F150)&gt;0,INDEX(Table2[[#All],[Para (Ticker Daniel)]],MATCH(Input_APM!F150,Table2[[#All],[De (Lote)]],0)),Input_APM!F150))</f>
        <v/>
      </c>
      <c r="M150" s="209" t="str">
        <f t="shared" si="13"/>
        <v/>
      </c>
      <c r="N150" s="210" t="str">
        <f t="shared" si="14"/>
        <v/>
      </c>
      <c r="O150" s="210" t="str">
        <f t="shared" si="15"/>
        <v/>
      </c>
    </row>
    <row r="151" spans="11:15">
      <c r="K151" s="209" t="str">
        <f t="shared" si="12"/>
        <v/>
      </c>
      <c r="L151" s="209" t="str">
        <f>IF(E151="","",IF(COUNTIFS(Table2[[#All],[De (Lote)]],Input_APM!F151)&gt;0,INDEX(Table2[[#All],[Para (Ticker Daniel)]],MATCH(Input_APM!F151,Table2[[#All],[De (Lote)]],0)),Input_APM!F151))</f>
        <v/>
      </c>
      <c r="M151" s="209" t="str">
        <f t="shared" si="13"/>
        <v/>
      </c>
      <c r="N151" s="210" t="str">
        <f t="shared" si="14"/>
        <v/>
      </c>
      <c r="O151" s="210" t="str">
        <f t="shared" si="15"/>
        <v/>
      </c>
    </row>
    <row r="152" spans="11:15">
      <c r="K152" s="209" t="str">
        <f t="shared" si="12"/>
        <v/>
      </c>
      <c r="L152" s="209" t="str">
        <f>IF(E152="","",IF(COUNTIFS(Table2[[#All],[De (Lote)]],Input_APM!F152)&gt;0,INDEX(Table2[[#All],[Para (Ticker Daniel)]],MATCH(Input_APM!F152,Table2[[#All],[De (Lote)]],0)),Input_APM!F152))</f>
        <v/>
      </c>
      <c r="M152" s="209" t="str">
        <f t="shared" si="13"/>
        <v/>
      </c>
      <c r="N152" s="210" t="str">
        <f t="shared" si="14"/>
        <v/>
      </c>
      <c r="O152" s="210" t="str">
        <f t="shared" si="15"/>
        <v/>
      </c>
    </row>
    <row r="153" spans="11:15">
      <c r="K153" s="209" t="str">
        <f t="shared" si="12"/>
        <v/>
      </c>
      <c r="L153" s="209" t="str">
        <f>IF(E153="","",IF(COUNTIFS(Table2[[#All],[De (Lote)]],Input_APM!F153)&gt;0,INDEX(Table2[[#All],[Para (Ticker Daniel)]],MATCH(Input_APM!F153,Table2[[#All],[De (Lote)]],0)),Input_APM!F153))</f>
        <v/>
      </c>
      <c r="M153" s="209" t="str">
        <f t="shared" si="13"/>
        <v/>
      </c>
      <c r="N153" s="210" t="str">
        <f t="shared" si="14"/>
        <v/>
      </c>
      <c r="O153" s="210" t="str">
        <f t="shared" si="15"/>
        <v/>
      </c>
    </row>
    <row r="154" spans="11:15">
      <c r="K154" s="209" t="str">
        <f t="shared" si="12"/>
        <v/>
      </c>
      <c r="L154" s="209" t="str">
        <f>IF(E154="","",IF(COUNTIFS(Table2[[#All],[De (Lote)]],Input_APM!F154)&gt;0,INDEX(Table2[[#All],[Para (Ticker Daniel)]],MATCH(Input_APM!F154,Table2[[#All],[De (Lote)]],0)),Input_APM!F154))</f>
        <v/>
      </c>
      <c r="M154" s="209" t="str">
        <f t="shared" si="13"/>
        <v/>
      </c>
      <c r="N154" s="210" t="str">
        <f t="shared" si="14"/>
        <v/>
      </c>
      <c r="O154" s="210" t="str">
        <f t="shared" si="15"/>
        <v/>
      </c>
    </row>
    <row r="155" spans="11:15">
      <c r="K155" s="209" t="str">
        <f t="shared" si="12"/>
        <v/>
      </c>
      <c r="L155" s="209" t="str">
        <f>IF(E155="","",IF(COUNTIFS(Table2[[#All],[De (Lote)]],Input_APM!F155)&gt;0,INDEX(Table2[[#All],[Para (Ticker Daniel)]],MATCH(Input_APM!F155,Table2[[#All],[De (Lote)]],0)),Input_APM!F155))</f>
        <v/>
      </c>
      <c r="M155" s="209" t="str">
        <f t="shared" si="13"/>
        <v/>
      </c>
      <c r="N155" s="210" t="str">
        <f t="shared" si="14"/>
        <v/>
      </c>
      <c r="O155" s="210" t="str">
        <f t="shared" si="15"/>
        <v/>
      </c>
    </row>
    <row r="156" spans="11:15">
      <c r="K156" s="209" t="str">
        <f t="shared" si="12"/>
        <v/>
      </c>
      <c r="L156" s="209" t="str">
        <f>IF(E156="","",IF(COUNTIFS(Table2[[#All],[De (Lote)]],Input_APM!F156)&gt;0,INDEX(Table2[[#All],[Para (Ticker Daniel)]],MATCH(Input_APM!F156,Table2[[#All],[De (Lote)]],0)),Input_APM!F156))</f>
        <v/>
      </c>
      <c r="M156" s="209" t="str">
        <f t="shared" si="13"/>
        <v/>
      </c>
      <c r="N156" s="210" t="str">
        <f t="shared" si="14"/>
        <v/>
      </c>
      <c r="O156" s="210" t="str">
        <f t="shared" si="15"/>
        <v/>
      </c>
    </row>
    <row r="157" spans="11:15">
      <c r="K157" s="209" t="str">
        <f t="shared" si="12"/>
        <v/>
      </c>
      <c r="L157" s="209" t="str">
        <f>IF(E157="","",IF(COUNTIFS(Table2[[#All],[De (Lote)]],Input_APM!F157)&gt;0,INDEX(Table2[[#All],[Para (Ticker Daniel)]],MATCH(Input_APM!F157,Table2[[#All],[De (Lote)]],0)),Input_APM!F157))</f>
        <v/>
      </c>
      <c r="M157" s="209" t="str">
        <f t="shared" si="13"/>
        <v/>
      </c>
      <c r="N157" s="210" t="str">
        <f t="shared" si="14"/>
        <v/>
      </c>
      <c r="O157" s="210" t="str">
        <f t="shared" si="15"/>
        <v/>
      </c>
    </row>
    <row r="158" spans="11:15">
      <c r="K158" s="209" t="str">
        <f t="shared" si="12"/>
        <v/>
      </c>
      <c r="L158" s="209" t="str">
        <f>IF(E158="","",IF(COUNTIFS(Table2[[#All],[De (Lote)]],Input_APM!F158)&gt;0,INDEX(Table2[[#All],[Para (Ticker Daniel)]],MATCH(Input_APM!F158,Table2[[#All],[De (Lote)]],0)),Input_APM!F158))</f>
        <v/>
      </c>
      <c r="M158" s="209" t="str">
        <f t="shared" si="13"/>
        <v/>
      </c>
      <c r="N158" s="210" t="str">
        <f t="shared" si="14"/>
        <v/>
      </c>
      <c r="O158" s="210" t="str">
        <f t="shared" si="15"/>
        <v/>
      </c>
    </row>
    <row r="159" spans="11:15">
      <c r="K159" s="209" t="str">
        <f t="shared" si="12"/>
        <v/>
      </c>
      <c r="L159" s="209" t="str">
        <f>IF(E159="","",IF(COUNTIFS(Table2[[#All],[De (Lote)]],Input_APM!F159)&gt;0,INDEX(Table2[[#All],[Para (Ticker Daniel)]],MATCH(Input_APM!F159,Table2[[#All],[De (Lote)]],0)),Input_APM!F159))</f>
        <v/>
      </c>
      <c r="M159" s="209" t="str">
        <f t="shared" si="13"/>
        <v/>
      </c>
      <c r="N159" s="210" t="str">
        <f t="shared" si="14"/>
        <v/>
      </c>
      <c r="O159" s="210" t="str">
        <f t="shared" si="15"/>
        <v/>
      </c>
    </row>
    <row r="160" spans="11:15">
      <c r="K160" s="209" t="str">
        <f t="shared" si="12"/>
        <v/>
      </c>
      <c r="L160" s="209" t="str">
        <f>IF(E160="","",IF(COUNTIFS(Table2[[#All],[De (Lote)]],Input_APM!F160)&gt;0,INDEX(Table2[[#All],[Para (Ticker Daniel)]],MATCH(Input_APM!F160,Table2[[#All],[De (Lote)]],0)),Input_APM!F160))</f>
        <v/>
      </c>
      <c r="M160" s="209" t="str">
        <f t="shared" si="13"/>
        <v/>
      </c>
      <c r="N160" s="210" t="str">
        <f t="shared" si="14"/>
        <v/>
      </c>
      <c r="O160" s="210" t="str">
        <f t="shared" si="15"/>
        <v/>
      </c>
    </row>
    <row r="161" spans="11:15">
      <c r="K161" s="209" t="str">
        <f t="shared" si="12"/>
        <v/>
      </c>
      <c r="L161" s="209" t="str">
        <f>IF(E161="","",IF(COUNTIFS(Table2[[#All],[De (Lote)]],Input_APM!F161)&gt;0,INDEX(Table2[[#All],[Para (Ticker Daniel)]],MATCH(Input_APM!F161,Table2[[#All],[De (Lote)]],0)),Input_APM!F161))</f>
        <v/>
      </c>
      <c r="M161" s="209" t="str">
        <f t="shared" si="13"/>
        <v/>
      </c>
      <c r="N161" s="210" t="str">
        <f t="shared" si="14"/>
        <v/>
      </c>
      <c r="O161" s="210" t="str">
        <f t="shared" si="15"/>
        <v/>
      </c>
    </row>
    <row r="162" spans="11:15">
      <c r="K162" s="209" t="str">
        <f t="shared" si="12"/>
        <v/>
      </c>
      <c r="L162" s="209" t="str">
        <f>IF(E162="","",IF(COUNTIFS(Table2[[#All],[De (Lote)]],Input_APM!F162)&gt;0,INDEX(Table2[[#All],[Para (Ticker Daniel)]],MATCH(Input_APM!F162,Table2[[#All],[De (Lote)]],0)),Input_APM!F162))</f>
        <v/>
      </c>
      <c r="M162" s="209" t="str">
        <f t="shared" si="13"/>
        <v/>
      </c>
      <c r="N162" s="210" t="str">
        <f t="shared" si="14"/>
        <v/>
      </c>
      <c r="O162" s="210" t="str">
        <f t="shared" si="15"/>
        <v/>
      </c>
    </row>
    <row r="163" spans="11:15">
      <c r="K163" s="209" t="str">
        <f t="shared" si="12"/>
        <v/>
      </c>
      <c r="L163" s="209" t="str">
        <f>IF(E163="","",IF(COUNTIFS(Table2[[#All],[De (Lote)]],Input_APM!F163)&gt;0,INDEX(Table2[[#All],[Para (Ticker Daniel)]],MATCH(Input_APM!F163,Table2[[#All],[De (Lote)]],0)),Input_APM!F163))</f>
        <v/>
      </c>
      <c r="M163" s="209" t="str">
        <f t="shared" si="13"/>
        <v/>
      </c>
      <c r="N163" s="210" t="str">
        <f t="shared" si="14"/>
        <v/>
      </c>
      <c r="O163" s="210" t="str">
        <f t="shared" si="15"/>
        <v/>
      </c>
    </row>
    <row r="164" spans="11:15">
      <c r="K164" s="209" t="str">
        <f t="shared" si="12"/>
        <v/>
      </c>
      <c r="L164" s="209" t="str">
        <f>IF(E164="","",IF(COUNTIFS(Table2[[#All],[De (Lote)]],Input_APM!F164)&gt;0,INDEX(Table2[[#All],[Para (Ticker Daniel)]],MATCH(Input_APM!F164,Table2[[#All],[De (Lote)]],0)),Input_APM!F164))</f>
        <v/>
      </c>
      <c r="M164" s="209" t="str">
        <f t="shared" si="13"/>
        <v/>
      </c>
      <c r="N164" s="210" t="str">
        <f t="shared" si="14"/>
        <v/>
      </c>
      <c r="O164" s="210" t="str">
        <f t="shared" si="15"/>
        <v/>
      </c>
    </row>
    <row r="165" spans="11:15">
      <c r="K165" s="209" t="str">
        <f t="shared" si="12"/>
        <v/>
      </c>
      <c r="L165" s="209" t="str">
        <f>IF(E165="","",IF(COUNTIFS(Table2[[#All],[De (Lote)]],Input_APM!F165)&gt;0,INDEX(Table2[[#All],[Para (Ticker Daniel)]],MATCH(Input_APM!F165,Table2[[#All],[De (Lote)]],0)),Input_APM!F165))</f>
        <v/>
      </c>
      <c r="M165" s="209" t="str">
        <f t="shared" si="13"/>
        <v/>
      </c>
      <c r="N165" s="210" t="str">
        <f t="shared" si="14"/>
        <v/>
      </c>
      <c r="O165" s="210" t="str">
        <f t="shared" si="15"/>
        <v/>
      </c>
    </row>
    <row r="166" spans="11:15">
      <c r="K166" s="209" t="str">
        <f t="shared" si="12"/>
        <v/>
      </c>
      <c r="L166" s="209" t="str">
        <f>IF(E166="","",IF(COUNTIFS(Table2[[#All],[De (Lote)]],Input_APM!F166)&gt;0,INDEX(Table2[[#All],[Para (Ticker Daniel)]],MATCH(Input_APM!F166,Table2[[#All],[De (Lote)]],0)),Input_APM!F166))</f>
        <v/>
      </c>
      <c r="M166" s="209" t="str">
        <f t="shared" si="13"/>
        <v/>
      </c>
      <c r="N166" s="210" t="str">
        <f t="shared" si="14"/>
        <v/>
      </c>
      <c r="O166" s="210" t="str">
        <f t="shared" si="15"/>
        <v/>
      </c>
    </row>
    <row r="167" spans="11:15">
      <c r="K167" s="209" t="str">
        <f t="shared" si="12"/>
        <v/>
      </c>
      <c r="L167" s="209" t="str">
        <f>IF(E167="","",IF(COUNTIFS(Table2[[#All],[De (Lote)]],Input_APM!F167)&gt;0,INDEX(Table2[[#All],[Para (Ticker Daniel)]],MATCH(Input_APM!F167,Table2[[#All],[De (Lote)]],0)),Input_APM!F167))</f>
        <v/>
      </c>
      <c r="M167" s="209" t="str">
        <f t="shared" si="13"/>
        <v/>
      </c>
      <c r="N167" s="210" t="str">
        <f t="shared" si="14"/>
        <v/>
      </c>
      <c r="O167" s="210" t="str">
        <f t="shared" si="15"/>
        <v/>
      </c>
    </row>
    <row r="168" spans="11:15">
      <c r="K168" s="209" t="str">
        <f t="shared" si="12"/>
        <v/>
      </c>
      <c r="L168" s="209" t="str">
        <f>IF(E168="","",IF(COUNTIFS(Table2[[#All],[De (Lote)]],Input_APM!F168)&gt;0,INDEX(Table2[[#All],[Para (Ticker Daniel)]],MATCH(Input_APM!F168,Table2[[#All],[De (Lote)]],0)),Input_APM!F168))</f>
        <v/>
      </c>
      <c r="M168" s="209" t="str">
        <f t="shared" si="13"/>
        <v/>
      </c>
      <c r="N168" s="210" t="str">
        <f t="shared" si="14"/>
        <v/>
      </c>
      <c r="O168" s="210" t="str">
        <f t="shared" si="15"/>
        <v/>
      </c>
    </row>
    <row r="169" spans="11:15">
      <c r="K169" s="209" t="str">
        <f t="shared" si="12"/>
        <v/>
      </c>
      <c r="L169" s="209" t="str">
        <f>IF(E169="","",IF(COUNTIFS(Table2[[#All],[De (Lote)]],Input_APM!F169)&gt;0,INDEX(Table2[[#All],[Para (Ticker Daniel)]],MATCH(Input_APM!F169,Table2[[#All],[De (Lote)]],0)),Input_APM!F169))</f>
        <v/>
      </c>
      <c r="M169" s="209" t="str">
        <f t="shared" si="13"/>
        <v/>
      </c>
      <c r="N169" s="210" t="str">
        <f t="shared" si="14"/>
        <v/>
      </c>
      <c r="O169" s="210" t="str">
        <f t="shared" si="15"/>
        <v/>
      </c>
    </row>
    <row r="170" spans="11:15">
      <c r="K170" s="209" t="str">
        <f t="shared" si="12"/>
        <v/>
      </c>
      <c r="L170" s="209" t="str">
        <f>IF(E170="","",IF(COUNTIFS(Table2[[#All],[De (Lote)]],Input_APM!F170)&gt;0,INDEX(Table2[[#All],[Para (Ticker Daniel)]],MATCH(Input_APM!F170,Table2[[#All],[De (Lote)]],0)),Input_APM!F170))</f>
        <v/>
      </c>
      <c r="M170" s="209" t="str">
        <f t="shared" si="13"/>
        <v/>
      </c>
      <c r="N170" s="210" t="str">
        <f t="shared" si="14"/>
        <v/>
      </c>
      <c r="O170" s="210" t="str">
        <f t="shared" si="15"/>
        <v/>
      </c>
    </row>
    <row r="171" spans="11:15">
      <c r="K171" s="209" t="str">
        <f t="shared" si="12"/>
        <v/>
      </c>
      <c r="L171" s="209" t="str">
        <f>IF(E171="","",IF(COUNTIFS(Table2[[#All],[De (Lote)]],Input_APM!F171)&gt;0,INDEX(Table2[[#All],[Para (Ticker Daniel)]],MATCH(Input_APM!F171,Table2[[#All],[De (Lote)]],0)),Input_APM!F171))</f>
        <v/>
      </c>
      <c r="M171" s="209" t="str">
        <f t="shared" si="13"/>
        <v/>
      </c>
      <c r="N171" s="210" t="str">
        <f t="shared" si="14"/>
        <v/>
      </c>
      <c r="O171" s="210" t="str">
        <f t="shared" si="15"/>
        <v/>
      </c>
    </row>
    <row r="172" spans="11:15">
      <c r="K172" s="209" t="str">
        <f t="shared" si="12"/>
        <v/>
      </c>
      <c r="L172" s="209" t="str">
        <f>IF(E172="","",IF(COUNTIFS(Table2[[#All],[De (Lote)]],Input_APM!F172)&gt;0,INDEX(Table2[[#All],[Para (Ticker Daniel)]],MATCH(Input_APM!F172,Table2[[#All],[De (Lote)]],0)),Input_APM!F172))</f>
        <v/>
      </c>
      <c r="M172" s="209" t="str">
        <f t="shared" si="13"/>
        <v/>
      </c>
      <c r="N172" s="210" t="str">
        <f t="shared" si="14"/>
        <v/>
      </c>
      <c r="O172" s="210" t="str">
        <f t="shared" si="15"/>
        <v/>
      </c>
    </row>
    <row r="173" spans="11:15">
      <c r="K173" s="209" t="str">
        <f t="shared" si="12"/>
        <v/>
      </c>
      <c r="L173" s="209" t="str">
        <f>IF(E173="","",IF(COUNTIFS(Table2[[#All],[De (Lote)]],Input_APM!F173)&gt;0,INDEX(Table2[[#All],[Para (Ticker Daniel)]],MATCH(Input_APM!F173,Table2[[#All],[De (Lote)]],0)),Input_APM!F173))</f>
        <v/>
      </c>
      <c r="M173" s="209" t="str">
        <f t="shared" si="13"/>
        <v/>
      </c>
      <c r="N173" s="210" t="str">
        <f t="shared" si="14"/>
        <v/>
      </c>
      <c r="O173" s="210" t="str">
        <f t="shared" si="15"/>
        <v/>
      </c>
    </row>
    <row r="174" spans="11:15">
      <c r="K174" s="209" t="str">
        <f t="shared" si="12"/>
        <v/>
      </c>
      <c r="L174" s="209" t="str">
        <f>IF(E174="","",IF(COUNTIFS(Table2[[#All],[De (Lote)]],Input_APM!F174)&gt;0,INDEX(Table2[[#All],[Para (Ticker Daniel)]],MATCH(Input_APM!F174,Table2[[#All],[De (Lote)]],0)),Input_APM!F174))</f>
        <v/>
      </c>
      <c r="M174" s="209" t="str">
        <f t="shared" si="13"/>
        <v/>
      </c>
      <c r="N174" s="210" t="str">
        <f t="shared" si="14"/>
        <v/>
      </c>
      <c r="O174" s="210" t="str">
        <f t="shared" si="15"/>
        <v/>
      </c>
    </row>
    <row r="175" spans="11:15">
      <c r="K175" s="209" t="str">
        <f t="shared" si="12"/>
        <v/>
      </c>
      <c r="L175" s="209" t="str">
        <f>IF(E175="","",IF(COUNTIFS(Table2[[#All],[De (Lote)]],Input_APM!F175)&gt;0,INDEX(Table2[[#All],[Para (Ticker Daniel)]],MATCH(Input_APM!F175,Table2[[#All],[De (Lote)]],0)),Input_APM!F175))</f>
        <v/>
      </c>
      <c r="M175" s="209" t="str">
        <f t="shared" si="13"/>
        <v/>
      </c>
      <c r="N175" s="210" t="str">
        <f t="shared" si="14"/>
        <v/>
      </c>
      <c r="O175" s="210" t="str">
        <f t="shared" si="15"/>
        <v/>
      </c>
    </row>
    <row r="176" spans="11:15">
      <c r="K176" s="209" t="str">
        <f t="shared" si="12"/>
        <v/>
      </c>
      <c r="L176" s="209" t="str">
        <f>IF(E176="","",IF(COUNTIFS(Table2[[#All],[De (Lote)]],Input_APM!F176)&gt;0,INDEX(Table2[[#All],[Para (Ticker Daniel)]],MATCH(Input_APM!F176,Table2[[#All],[De (Lote)]],0)),Input_APM!F176))</f>
        <v/>
      </c>
      <c r="M176" s="209" t="str">
        <f t="shared" si="13"/>
        <v/>
      </c>
      <c r="N176" s="210" t="str">
        <f t="shared" si="14"/>
        <v/>
      </c>
      <c r="O176" s="210" t="str">
        <f t="shared" si="15"/>
        <v/>
      </c>
    </row>
    <row r="177" spans="11:15">
      <c r="K177" s="209" t="str">
        <f t="shared" si="12"/>
        <v/>
      </c>
      <c r="L177" s="209" t="str">
        <f>IF(E177="","",IF(COUNTIFS(Table2[[#All],[De (Lote)]],Input_APM!F177)&gt;0,INDEX(Table2[[#All],[Para (Ticker Daniel)]],MATCH(Input_APM!F177,Table2[[#All],[De (Lote)]],0)),Input_APM!F177))</f>
        <v/>
      </c>
      <c r="M177" s="209" t="str">
        <f t="shared" si="13"/>
        <v/>
      </c>
      <c r="N177" s="210" t="str">
        <f t="shared" si="14"/>
        <v/>
      </c>
      <c r="O177" s="210" t="str">
        <f t="shared" si="15"/>
        <v/>
      </c>
    </row>
    <row r="178" spans="11:15">
      <c r="K178" s="209" t="str">
        <f t="shared" si="12"/>
        <v/>
      </c>
      <c r="L178" s="209" t="str">
        <f>IF(E178="","",IF(COUNTIFS(Table2[[#All],[De (Lote)]],Input_APM!F178)&gt;0,INDEX(Table2[[#All],[Para (Ticker Daniel)]],MATCH(Input_APM!F178,Table2[[#All],[De (Lote)]],0)),Input_APM!F178))</f>
        <v/>
      </c>
      <c r="M178" s="209" t="str">
        <f t="shared" si="13"/>
        <v/>
      </c>
      <c r="N178" s="210" t="str">
        <f t="shared" si="14"/>
        <v/>
      </c>
      <c r="O178" s="210" t="str">
        <f t="shared" si="15"/>
        <v/>
      </c>
    </row>
    <row r="179" spans="11:15">
      <c r="K179" s="209" t="str">
        <f t="shared" si="12"/>
        <v/>
      </c>
      <c r="L179" s="209" t="str">
        <f>IF(E179="","",IF(COUNTIFS(Table2[[#All],[De (Lote)]],Input_APM!F179)&gt;0,INDEX(Table2[[#All],[Para (Ticker Daniel)]],MATCH(Input_APM!F179,Table2[[#All],[De (Lote)]],0)),Input_APM!F179))</f>
        <v/>
      </c>
      <c r="M179" s="209" t="str">
        <f t="shared" si="13"/>
        <v/>
      </c>
      <c r="N179" s="210" t="str">
        <f t="shared" si="14"/>
        <v/>
      </c>
      <c r="O179" s="210" t="str">
        <f t="shared" si="15"/>
        <v/>
      </c>
    </row>
    <row r="180" spans="11:15">
      <c r="K180" s="209" t="str">
        <f t="shared" si="12"/>
        <v/>
      </c>
      <c r="L180" s="209" t="str">
        <f>IF(E180="","",IF(COUNTIFS(Table2[[#All],[De (Lote)]],Input_APM!F180)&gt;0,INDEX(Table2[[#All],[Para (Ticker Daniel)]],MATCH(Input_APM!F180,Table2[[#All],[De (Lote)]],0)),Input_APM!F180))</f>
        <v/>
      </c>
      <c r="M180" s="209" t="str">
        <f t="shared" si="13"/>
        <v/>
      </c>
      <c r="N180" s="210" t="str">
        <f t="shared" si="14"/>
        <v/>
      </c>
      <c r="O180" s="210" t="str">
        <f t="shared" si="15"/>
        <v/>
      </c>
    </row>
    <row r="181" spans="11:15">
      <c r="K181" s="209" t="str">
        <f t="shared" si="12"/>
        <v/>
      </c>
      <c r="L181" s="209" t="str">
        <f>IF(E181="","",IF(COUNTIFS(Table2[[#All],[De (Lote)]],Input_APM!F181)&gt;0,INDEX(Table2[[#All],[Para (Ticker Daniel)]],MATCH(Input_APM!F181,Table2[[#All],[De (Lote)]],0)),Input_APM!F181))</f>
        <v/>
      </c>
      <c r="M181" s="209" t="str">
        <f t="shared" si="13"/>
        <v/>
      </c>
      <c r="N181" s="210" t="str">
        <f t="shared" si="14"/>
        <v/>
      </c>
      <c r="O181" s="210" t="str">
        <f t="shared" si="15"/>
        <v/>
      </c>
    </row>
    <row r="182" spans="11:15">
      <c r="K182" s="209" t="str">
        <f t="shared" si="12"/>
        <v/>
      </c>
      <c r="L182" s="209" t="str">
        <f>IF(E182="","",IF(COUNTIFS(Table2[[#All],[De (Lote)]],Input_APM!F182)&gt;0,INDEX(Table2[[#All],[Para (Ticker Daniel)]],MATCH(Input_APM!F182,Table2[[#All],[De (Lote)]],0)),Input_APM!F182))</f>
        <v/>
      </c>
      <c r="M182" s="209" t="str">
        <f t="shared" si="13"/>
        <v/>
      </c>
      <c r="N182" s="210" t="str">
        <f t="shared" si="14"/>
        <v/>
      </c>
      <c r="O182" s="210" t="str">
        <f t="shared" si="15"/>
        <v/>
      </c>
    </row>
    <row r="183" spans="11:15">
      <c r="K183" s="209" t="str">
        <f t="shared" si="12"/>
        <v/>
      </c>
      <c r="L183" s="209" t="str">
        <f>IF(E183="","",IF(COUNTIFS(Table2[[#All],[De (Lote)]],Input_APM!F183)&gt;0,INDEX(Table2[[#All],[Para (Ticker Daniel)]],MATCH(Input_APM!F183,Table2[[#All],[De (Lote)]],0)),Input_APM!F183))</f>
        <v/>
      </c>
      <c r="M183" s="209" t="str">
        <f t="shared" si="13"/>
        <v/>
      </c>
      <c r="N183" s="210" t="str">
        <f t="shared" si="14"/>
        <v/>
      </c>
      <c r="O183" s="210" t="str">
        <f t="shared" si="15"/>
        <v/>
      </c>
    </row>
    <row r="184" spans="11:15">
      <c r="K184" s="209" t="str">
        <f t="shared" si="12"/>
        <v/>
      </c>
      <c r="L184" s="209" t="str">
        <f>IF(E184="","",IF(COUNTIFS(Table2[[#All],[De (Lote)]],Input_APM!F184)&gt;0,INDEX(Table2[[#All],[Para (Ticker Daniel)]],MATCH(Input_APM!F184,Table2[[#All],[De (Lote)]],0)),Input_APM!F184))</f>
        <v/>
      </c>
      <c r="M184" s="209" t="str">
        <f t="shared" si="13"/>
        <v/>
      </c>
      <c r="N184" s="210" t="str">
        <f t="shared" si="14"/>
        <v/>
      </c>
      <c r="O184" s="210" t="str">
        <f t="shared" si="15"/>
        <v/>
      </c>
    </row>
    <row r="185" spans="11:15">
      <c r="K185" s="209" t="str">
        <f t="shared" si="12"/>
        <v/>
      </c>
      <c r="L185" s="209" t="str">
        <f>IF(E185="","",IF(COUNTIFS(Table2[[#All],[De (Lote)]],Input_APM!F185)&gt;0,INDEX(Table2[[#All],[Para (Ticker Daniel)]],MATCH(Input_APM!F185,Table2[[#All],[De (Lote)]],0)),Input_APM!F185))</f>
        <v/>
      </c>
      <c r="M185" s="209" t="str">
        <f t="shared" si="13"/>
        <v/>
      </c>
      <c r="N185" s="210" t="str">
        <f t="shared" si="14"/>
        <v/>
      </c>
      <c r="O185" s="210" t="str">
        <f t="shared" si="15"/>
        <v/>
      </c>
    </row>
    <row r="186" spans="11:15">
      <c r="K186" s="209" t="str">
        <f t="shared" si="12"/>
        <v/>
      </c>
      <c r="L186" s="209" t="str">
        <f>IF(E186="","",IF(COUNTIFS(Table2[[#All],[De (Lote)]],Input_APM!F186)&gt;0,INDEX(Table2[[#All],[Para (Ticker Daniel)]],MATCH(Input_APM!F186,Table2[[#All],[De (Lote)]],0)),Input_APM!F186))</f>
        <v/>
      </c>
      <c r="M186" s="209" t="str">
        <f t="shared" si="13"/>
        <v/>
      </c>
      <c r="N186" s="210" t="str">
        <f t="shared" si="14"/>
        <v/>
      </c>
      <c r="O186" s="210" t="str">
        <f t="shared" si="15"/>
        <v/>
      </c>
    </row>
    <row r="187" spans="11:15">
      <c r="K187" s="209" t="str">
        <f t="shared" si="12"/>
        <v/>
      </c>
      <c r="L187" s="209" t="str">
        <f>IF(E187="","",IF(COUNTIFS(Table2[[#All],[De (Lote)]],Input_APM!F187)&gt;0,INDEX(Table2[[#All],[Para (Ticker Daniel)]],MATCH(Input_APM!F187,Table2[[#All],[De (Lote)]],0)),Input_APM!F187))</f>
        <v/>
      </c>
      <c r="M187" s="209" t="str">
        <f t="shared" si="13"/>
        <v/>
      </c>
      <c r="N187" s="210" t="str">
        <f t="shared" si="14"/>
        <v/>
      </c>
      <c r="O187" s="210" t="str">
        <f t="shared" si="15"/>
        <v/>
      </c>
    </row>
    <row r="188" spans="11:15">
      <c r="K188" s="209" t="str">
        <f t="shared" si="12"/>
        <v/>
      </c>
      <c r="L188" s="209" t="str">
        <f>IF(E188="","",IF(COUNTIFS(Table2[[#All],[De (Lote)]],Input_APM!F188)&gt;0,INDEX(Table2[[#All],[Para (Ticker Daniel)]],MATCH(Input_APM!F188,Table2[[#All],[De (Lote)]],0)),Input_APM!F188))</f>
        <v/>
      </c>
      <c r="M188" s="209" t="str">
        <f t="shared" si="13"/>
        <v/>
      </c>
      <c r="N188" s="210" t="str">
        <f t="shared" si="14"/>
        <v/>
      </c>
      <c r="O188" s="210" t="str">
        <f t="shared" si="15"/>
        <v/>
      </c>
    </row>
    <row r="189" spans="11:15">
      <c r="K189" s="209" t="str">
        <f t="shared" si="12"/>
        <v/>
      </c>
      <c r="L189" s="209" t="str">
        <f>IF(E189="","",IF(COUNTIFS(Table2[[#All],[De (Lote)]],Input_APM!F189)&gt;0,INDEX(Table2[[#All],[Para (Ticker Daniel)]],MATCH(Input_APM!F189,Table2[[#All],[De (Lote)]],0)),Input_APM!F189))</f>
        <v/>
      </c>
      <c r="M189" s="209" t="str">
        <f t="shared" si="13"/>
        <v/>
      </c>
      <c r="N189" s="210" t="str">
        <f t="shared" si="14"/>
        <v/>
      </c>
      <c r="O189" s="210" t="str">
        <f t="shared" si="15"/>
        <v/>
      </c>
    </row>
    <row r="190" spans="11:15">
      <c r="K190" s="209" t="str">
        <f t="shared" si="12"/>
        <v/>
      </c>
      <c r="L190" s="209" t="str">
        <f>IF(E190="","",IF(COUNTIFS(Table2[[#All],[De (Lote)]],Input_APM!F190)&gt;0,INDEX(Table2[[#All],[Para (Ticker Daniel)]],MATCH(Input_APM!F190,Table2[[#All],[De (Lote)]],0)),Input_APM!F190))</f>
        <v/>
      </c>
      <c r="M190" s="209" t="str">
        <f t="shared" si="13"/>
        <v/>
      </c>
      <c r="N190" s="210" t="str">
        <f t="shared" si="14"/>
        <v/>
      </c>
      <c r="O190" s="210" t="str">
        <f t="shared" si="15"/>
        <v/>
      </c>
    </row>
    <row r="191" spans="11:15">
      <c r="K191" s="209" t="str">
        <f t="shared" si="12"/>
        <v/>
      </c>
      <c r="L191" s="209" t="str">
        <f>IF(E191="","",IF(COUNTIFS(Table2[[#All],[De (Lote)]],Input_APM!F191)&gt;0,INDEX(Table2[[#All],[Para (Ticker Daniel)]],MATCH(Input_APM!F191,Table2[[#All],[De (Lote)]],0)),Input_APM!F191))</f>
        <v/>
      </c>
      <c r="M191" s="209" t="str">
        <f t="shared" si="13"/>
        <v/>
      </c>
      <c r="N191" s="210" t="str">
        <f t="shared" si="14"/>
        <v/>
      </c>
      <c r="O191" s="210" t="str">
        <f t="shared" si="15"/>
        <v/>
      </c>
    </row>
    <row r="192" spans="11:15">
      <c r="K192" s="209" t="str">
        <f t="shared" si="12"/>
        <v/>
      </c>
      <c r="L192" s="209" t="str">
        <f>IF(E192="","",IF(COUNTIFS(Table2[[#All],[De (Lote)]],Input_APM!F192)&gt;0,INDEX(Table2[[#All],[Para (Ticker Daniel)]],MATCH(Input_APM!F192,Table2[[#All],[De (Lote)]],0)),Input_APM!F192))</f>
        <v/>
      </c>
      <c r="M192" s="209" t="str">
        <f t="shared" si="13"/>
        <v/>
      </c>
      <c r="N192" s="210" t="str">
        <f t="shared" si="14"/>
        <v/>
      </c>
      <c r="O192" s="210" t="str">
        <f t="shared" si="15"/>
        <v/>
      </c>
    </row>
    <row r="193" spans="5:15">
      <c r="K193" s="209" t="str">
        <f t="shared" si="12"/>
        <v/>
      </c>
      <c r="L193" s="209" t="str">
        <f>IF(E193="","",IF(COUNTIFS(Table2[[#All],[De (Lote)]],Input_APM!F193)&gt;0,INDEX(Table2[[#All],[Para (Ticker Daniel)]],MATCH(Input_APM!F193,Table2[[#All],[De (Lote)]],0)),Input_APM!F193))</f>
        <v/>
      </c>
      <c r="M193" s="209" t="str">
        <f t="shared" si="13"/>
        <v/>
      </c>
      <c r="N193" s="210" t="str">
        <f t="shared" si="14"/>
        <v/>
      </c>
      <c r="O193" s="210" t="str">
        <f t="shared" si="15"/>
        <v/>
      </c>
    </row>
    <row r="194" spans="5:15">
      <c r="K194" s="209" t="str">
        <f t="shared" si="12"/>
        <v/>
      </c>
      <c r="L194" s="209" t="str">
        <f>IF(E194="","",IF(COUNTIFS(Table2[[#All],[De (Lote)]],Input_APM!F194)&gt;0,INDEX(Table2[[#All],[Para (Ticker Daniel)]],MATCH(Input_APM!F194,Table2[[#All],[De (Lote)]],0)),Input_APM!F194))</f>
        <v/>
      </c>
      <c r="M194" s="209" t="str">
        <f t="shared" si="13"/>
        <v/>
      </c>
      <c r="N194" s="210" t="str">
        <f t="shared" si="14"/>
        <v/>
      </c>
      <c r="O194" s="210" t="str">
        <f t="shared" si="15"/>
        <v/>
      </c>
    </row>
    <row r="195" spans="5:15">
      <c r="E195" s="364"/>
      <c r="K195" s="209" t="str">
        <f t="shared" si="12"/>
        <v/>
      </c>
      <c r="L195" s="209" t="str">
        <f>IF(E195="","",IF(COUNTIFS(Table2[[#All],[De (Lote)]],Input_APM!F195)&gt;0,INDEX(Table2[[#All],[Para (Ticker Daniel)]],MATCH(Input_APM!F195,Table2[[#All],[De (Lote)]],0)),Input_APM!F195))</f>
        <v/>
      </c>
      <c r="M195" s="209" t="str">
        <f t="shared" si="13"/>
        <v/>
      </c>
      <c r="N195" s="210" t="str">
        <f t="shared" si="14"/>
        <v/>
      </c>
      <c r="O195" s="210" t="str">
        <f t="shared" si="15"/>
        <v/>
      </c>
    </row>
    <row r="196" spans="5:15">
      <c r="E196" s="364"/>
      <c r="K196" s="209" t="str">
        <f t="shared" si="12"/>
        <v/>
      </c>
      <c r="L196" s="209" t="str">
        <f>IF(E196="","",IF(COUNTIFS(Table2[[#All],[De (Lote)]],Input_APM!F196)&gt;0,INDEX(Table2[[#All],[Para (Ticker Daniel)]],MATCH(Input_APM!F196,Table2[[#All],[De (Lote)]],0)),Input_APM!F196))</f>
        <v/>
      </c>
      <c r="M196" s="209" t="str">
        <f t="shared" si="13"/>
        <v/>
      </c>
      <c r="N196" s="210" t="str">
        <f t="shared" si="14"/>
        <v/>
      </c>
      <c r="O196" s="210" t="str">
        <f t="shared" si="15"/>
        <v/>
      </c>
    </row>
    <row r="197" spans="5:15">
      <c r="E197" s="364"/>
      <c r="K197" s="209" t="str">
        <f t="shared" si="12"/>
        <v/>
      </c>
      <c r="L197" s="209" t="str">
        <f>IF(E197="","",IF(COUNTIFS(Table2[[#All],[De (Lote)]],Input_APM!F197)&gt;0,INDEX(Table2[[#All],[Para (Ticker Daniel)]],MATCH(Input_APM!F197,Table2[[#All],[De (Lote)]],0)),Input_APM!F197))</f>
        <v/>
      </c>
      <c r="M197" s="209" t="str">
        <f t="shared" si="13"/>
        <v/>
      </c>
      <c r="N197" s="210" t="str">
        <f t="shared" si="14"/>
        <v/>
      </c>
      <c r="O197" s="210" t="str">
        <f t="shared" si="15"/>
        <v/>
      </c>
    </row>
    <row r="198" spans="5:15">
      <c r="E198" s="364"/>
      <c r="K198" s="209" t="str">
        <f t="shared" si="12"/>
        <v/>
      </c>
      <c r="L198" s="209" t="str">
        <f>IF(E198="","",IF(COUNTIFS(Table2[[#All],[De (Lote)]],Input_APM!F198)&gt;0,INDEX(Table2[[#All],[Para (Ticker Daniel)]],MATCH(Input_APM!F198,Table2[[#All],[De (Lote)]],0)),Input_APM!F198))</f>
        <v/>
      </c>
      <c r="M198" s="209" t="str">
        <f t="shared" si="13"/>
        <v/>
      </c>
      <c r="N198" s="210" t="str">
        <f t="shared" si="14"/>
        <v/>
      </c>
      <c r="O198" s="210" t="str">
        <f t="shared" si="15"/>
        <v/>
      </c>
    </row>
    <row r="199" spans="5:15">
      <c r="E199" s="364"/>
      <c r="K199" s="209" t="str">
        <f t="shared" si="12"/>
        <v/>
      </c>
      <c r="L199" s="209" t="str">
        <f>IF(E199="","",IF(COUNTIFS(Table2[[#All],[De (Lote)]],Input_APM!F199)&gt;0,INDEX(Table2[[#All],[Para (Ticker Daniel)]],MATCH(Input_APM!F199,Table2[[#All],[De (Lote)]],0)),Input_APM!F199))</f>
        <v/>
      </c>
      <c r="M199" s="209" t="str">
        <f t="shared" si="13"/>
        <v/>
      </c>
      <c r="N199" s="210" t="str">
        <f t="shared" si="14"/>
        <v/>
      </c>
      <c r="O199" s="210" t="str">
        <f t="shared" si="15"/>
        <v/>
      </c>
    </row>
    <row r="200" spans="5:15">
      <c r="E200" s="364"/>
      <c r="K200" s="209" t="str">
        <f t="shared" si="12"/>
        <v/>
      </c>
      <c r="L200" s="209" t="str">
        <f>IF(E200="","",IF(COUNTIFS(Table2[[#All],[De (Lote)]],Input_APM!F200)&gt;0,INDEX(Table2[[#All],[Para (Ticker Daniel)]],MATCH(Input_APM!F200,Table2[[#All],[De (Lote)]],0)),Input_APM!F200))</f>
        <v/>
      </c>
      <c r="M200" s="209" t="str">
        <f t="shared" si="13"/>
        <v/>
      </c>
      <c r="N200" s="210" t="str">
        <f t="shared" si="14"/>
        <v/>
      </c>
      <c r="O200" s="210" t="str">
        <f t="shared" si="15"/>
        <v/>
      </c>
    </row>
    <row r="201" spans="5:15">
      <c r="E201" s="364"/>
      <c r="K201" s="209" t="str">
        <f t="shared" si="12"/>
        <v/>
      </c>
      <c r="L201" s="209" t="str">
        <f>IF(E201="","",IF(COUNTIFS(Table2[[#All],[De (Lote)]],Input_APM!F201)&gt;0,INDEX(Table2[[#All],[Para (Ticker Daniel)]],MATCH(Input_APM!F201,Table2[[#All],[De (Lote)]],0)),Input_APM!F201))</f>
        <v/>
      </c>
      <c r="M201" s="209" t="str">
        <f t="shared" si="13"/>
        <v/>
      </c>
      <c r="N201" s="210" t="str">
        <f t="shared" si="14"/>
        <v/>
      </c>
      <c r="O201" s="210" t="str">
        <f t="shared" si="15"/>
        <v/>
      </c>
    </row>
    <row r="202" spans="5:15">
      <c r="E202" s="364"/>
      <c r="K202" s="209" t="str">
        <f t="shared" si="12"/>
        <v/>
      </c>
      <c r="L202" s="209" t="str">
        <f>IF(E202="","",IF(COUNTIFS(Table2[[#All],[De (Lote)]],Input_APM!F202)&gt;0,INDEX(Table2[[#All],[Para (Ticker Daniel)]],MATCH(Input_APM!F202,Table2[[#All],[De (Lote)]],0)),Input_APM!F202))</f>
        <v/>
      </c>
      <c r="M202" s="209" t="str">
        <f t="shared" si="13"/>
        <v/>
      </c>
      <c r="N202" s="210" t="str">
        <f t="shared" si="14"/>
        <v/>
      </c>
      <c r="O202" s="210" t="str">
        <f t="shared" si="15"/>
        <v/>
      </c>
    </row>
    <row r="203" spans="5:15">
      <c r="E203" s="364"/>
      <c r="K203" s="209" t="str">
        <f t="shared" si="12"/>
        <v/>
      </c>
      <c r="L203" s="209" t="str">
        <f>IF(E203="","",IF(COUNTIFS(Table2[[#All],[De (Lote)]],Input_APM!F203)&gt;0,INDEX(Table2[[#All],[Para (Ticker Daniel)]],MATCH(Input_APM!F203,Table2[[#All],[De (Lote)]],0)),Input_APM!F203))</f>
        <v/>
      </c>
      <c r="M203" s="209" t="str">
        <f t="shared" si="13"/>
        <v/>
      </c>
      <c r="N203" s="210" t="str">
        <f t="shared" si="14"/>
        <v/>
      </c>
      <c r="O203" s="210" t="str">
        <f t="shared" si="15"/>
        <v/>
      </c>
    </row>
    <row r="204" spans="5:15">
      <c r="E204" s="364"/>
      <c r="K204" s="209" t="str">
        <f t="shared" si="12"/>
        <v/>
      </c>
      <c r="L204" s="209" t="str">
        <f>IF(E204="","",IF(COUNTIFS(Table2[[#All],[De (Lote)]],Input_APM!F204)&gt;0,INDEX(Table2[[#All],[Para (Ticker Daniel)]],MATCH(Input_APM!F204,Table2[[#All],[De (Lote)]],0)),Input_APM!F204))</f>
        <v/>
      </c>
      <c r="M204" s="209" t="str">
        <f t="shared" si="13"/>
        <v/>
      </c>
      <c r="N204" s="210" t="str">
        <f t="shared" si="14"/>
        <v/>
      </c>
      <c r="O204" s="210" t="str">
        <f t="shared" si="15"/>
        <v/>
      </c>
    </row>
    <row r="205" spans="5:15">
      <c r="E205" s="364"/>
      <c r="K205" s="209" t="str">
        <f t="shared" si="12"/>
        <v/>
      </c>
      <c r="L205" s="209" t="str">
        <f>IF(E205="","",IF(COUNTIFS(Table2[[#All],[De (Lote)]],Input_APM!F205)&gt;0,INDEX(Table2[[#All],[Para (Ticker Daniel)]],MATCH(Input_APM!F205,Table2[[#All],[De (Lote)]],0)),Input_APM!F205))</f>
        <v/>
      </c>
      <c r="M205" s="209" t="str">
        <f t="shared" si="13"/>
        <v/>
      </c>
      <c r="N205" s="210" t="str">
        <f t="shared" si="14"/>
        <v/>
      </c>
      <c r="O205" s="210" t="str">
        <f t="shared" si="15"/>
        <v/>
      </c>
    </row>
    <row r="206" spans="5:15">
      <c r="E206" s="364"/>
      <c r="K206" s="209" t="str">
        <f t="shared" si="12"/>
        <v/>
      </c>
      <c r="L206" s="209" t="str">
        <f>IF(E206="","",IF(COUNTIFS(Table2[[#All],[De (Lote)]],Input_APM!F206)&gt;0,INDEX(Table2[[#All],[Para (Ticker Daniel)]],MATCH(Input_APM!F206,Table2[[#All],[De (Lote)]],0)),Input_APM!F206))</f>
        <v/>
      </c>
      <c r="M206" s="209" t="str">
        <f t="shared" si="13"/>
        <v/>
      </c>
      <c r="N206" s="210" t="str">
        <f t="shared" si="14"/>
        <v/>
      </c>
      <c r="O206" s="210" t="str">
        <f t="shared" si="15"/>
        <v/>
      </c>
    </row>
    <row r="207" spans="5:15">
      <c r="E207" s="364"/>
      <c r="K207" s="209" t="str">
        <f t="shared" si="12"/>
        <v/>
      </c>
      <c r="L207" s="209" t="str">
        <f>IF(E207="","",IF(COUNTIFS(Table2[[#All],[De (Lote)]],Input_APM!F207)&gt;0,INDEX(Table2[[#All],[Para (Ticker Daniel)]],MATCH(Input_APM!F207,Table2[[#All],[De (Lote)]],0)),Input_APM!F207))</f>
        <v/>
      </c>
      <c r="M207" s="209" t="str">
        <f t="shared" si="13"/>
        <v/>
      </c>
      <c r="N207" s="210" t="str">
        <f t="shared" si="14"/>
        <v/>
      </c>
      <c r="O207" s="210" t="str">
        <f t="shared" si="15"/>
        <v/>
      </c>
    </row>
    <row r="208" spans="5:15">
      <c r="E208" s="364"/>
      <c r="K208" s="209" t="str">
        <f t="shared" ref="K208:K234" si="16">IF(E208="","",E208)</f>
        <v/>
      </c>
      <c r="L208" s="209" t="str">
        <f>IF(E208="","",IF(COUNTIFS(Table2[[#All],[De (Lote)]],Input_APM!F208)&gt;0,INDEX(Table2[[#All],[Para (Ticker Daniel)]],MATCH(Input_APM!F208,Table2[[#All],[De (Lote)]],0)),Input_APM!F208))</f>
        <v/>
      </c>
      <c r="M208" s="209" t="str">
        <f t="shared" ref="M208:M234" si="17">IF(E208="","",G208)</f>
        <v/>
      </c>
      <c r="N208" s="210" t="str">
        <f t="shared" ref="N208:N234" si="18">IF(E208="","",H208)</f>
        <v/>
      </c>
      <c r="O208" s="210" t="str">
        <f t="shared" ref="O208:O234" si="19">IF(E208="","",I208)</f>
        <v/>
      </c>
    </row>
    <row r="209" spans="5:15">
      <c r="E209" s="364"/>
      <c r="K209" s="209" t="str">
        <f t="shared" si="16"/>
        <v/>
      </c>
      <c r="L209" s="209" t="str">
        <f>IF(E209="","",IF(COUNTIFS(Table2[[#All],[De (Lote)]],Input_APM!F209)&gt;0,INDEX(Table2[[#All],[Para (Ticker Daniel)]],MATCH(Input_APM!F209,Table2[[#All],[De (Lote)]],0)),Input_APM!F209))</f>
        <v/>
      </c>
      <c r="M209" s="209" t="str">
        <f t="shared" si="17"/>
        <v/>
      </c>
      <c r="N209" s="210" t="str">
        <f t="shared" si="18"/>
        <v/>
      </c>
      <c r="O209" s="210" t="str">
        <f t="shared" si="19"/>
        <v/>
      </c>
    </row>
    <row r="210" spans="5:15">
      <c r="E210" s="364"/>
      <c r="K210" s="209" t="str">
        <f t="shared" si="16"/>
        <v/>
      </c>
      <c r="L210" s="209" t="str">
        <f>IF(E210="","",IF(COUNTIFS(Table2[[#All],[De (Lote)]],Input_APM!F210)&gt;0,INDEX(Table2[[#All],[Para (Ticker Daniel)]],MATCH(Input_APM!F210,Table2[[#All],[De (Lote)]],0)),Input_APM!F210))</f>
        <v/>
      </c>
      <c r="M210" s="209" t="str">
        <f t="shared" si="17"/>
        <v/>
      </c>
      <c r="N210" s="210" t="str">
        <f t="shared" si="18"/>
        <v/>
      </c>
      <c r="O210" s="210" t="str">
        <f t="shared" si="19"/>
        <v/>
      </c>
    </row>
    <row r="211" spans="5:15">
      <c r="E211" s="364"/>
      <c r="K211" s="209" t="str">
        <f t="shared" si="16"/>
        <v/>
      </c>
      <c r="L211" s="209" t="str">
        <f>IF(E211="","",IF(COUNTIFS(Table2[[#All],[De (Lote)]],Input_APM!F211)&gt;0,INDEX(Table2[[#All],[Para (Ticker Daniel)]],MATCH(Input_APM!F211,Table2[[#All],[De (Lote)]],0)),Input_APM!F211))</f>
        <v/>
      </c>
      <c r="M211" s="209" t="str">
        <f t="shared" si="17"/>
        <v/>
      </c>
      <c r="N211" s="210" t="str">
        <f t="shared" si="18"/>
        <v/>
      </c>
      <c r="O211" s="210" t="str">
        <f t="shared" si="19"/>
        <v/>
      </c>
    </row>
    <row r="212" spans="5:15">
      <c r="E212" s="364"/>
      <c r="K212" s="209" t="str">
        <f t="shared" si="16"/>
        <v/>
      </c>
      <c r="L212" s="209" t="str">
        <f>IF(E212="","",IF(COUNTIFS(Table2[[#All],[De (Lote)]],Input_APM!F212)&gt;0,INDEX(Table2[[#All],[Para (Ticker Daniel)]],MATCH(Input_APM!F212,Table2[[#All],[De (Lote)]],0)),Input_APM!F212))</f>
        <v/>
      </c>
      <c r="M212" s="209" t="str">
        <f t="shared" si="17"/>
        <v/>
      </c>
      <c r="N212" s="210" t="str">
        <f t="shared" si="18"/>
        <v/>
      </c>
      <c r="O212" s="210" t="str">
        <f t="shared" si="19"/>
        <v/>
      </c>
    </row>
    <row r="213" spans="5:15">
      <c r="E213" s="364"/>
      <c r="K213" s="209" t="str">
        <f t="shared" si="16"/>
        <v/>
      </c>
      <c r="L213" s="209" t="str">
        <f>IF(E213="","",IF(COUNTIFS(Table2[[#All],[De (Lote)]],Input_APM!F213)&gt;0,INDEX(Table2[[#All],[Para (Ticker Daniel)]],MATCH(Input_APM!F213,Table2[[#All],[De (Lote)]],0)),Input_APM!F213))</f>
        <v/>
      </c>
      <c r="M213" s="209" t="str">
        <f t="shared" si="17"/>
        <v/>
      </c>
      <c r="N213" s="210" t="str">
        <f t="shared" si="18"/>
        <v/>
      </c>
      <c r="O213" s="210" t="str">
        <f t="shared" si="19"/>
        <v/>
      </c>
    </row>
    <row r="214" spans="5:15">
      <c r="E214" s="364"/>
      <c r="K214" s="209" t="str">
        <f t="shared" si="16"/>
        <v/>
      </c>
      <c r="L214" s="209" t="str">
        <f>IF(E214="","",IF(COUNTIFS(Table2[[#All],[De (Lote)]],Input_APM!F214)&gt;0,INDEX(Table2[[#All],[Para (Ticker Daniel)]],MATCH(Input_APM!F214,Table2[[#All],[De (Lote)]],0)),Input_APM!F214))</f>
        <v/>
      </c>
      <c r="M214" s="209" t="str">
        <f t="shared" si="17"/>
        <v/>
      </c>
      <c r="N214" s="210" t="str">
        <f t="shared" si="18"/>
        <v/>
      </c>
      <c r="O214" s="210" t="str">
        <f t="shared" si="19"/>
        <v/>
      </c>
    </row>
    <row r="215" spans="5:15">
      <c r="E215" s="364"/>
      <c r="K215" s="209" t="str">
        <f t="shared" si="16"/>
        <v/>
      </c>
      <c r="L215" s="209" t="str">
        <f>IF(E215="","",IF(COUNTIFS(Table2[[#All],[De (Lote)]],Input_APM!F215)&gt;0,INDEX(Table2[[#All],[Para (Ticker Daniel)]],MATCH(Input_APM!F215,Table2[[#All],[De (Lote)]],0)),Input_APM!F215))</f>
        <v/>
      </c>
      <c r="M215" s="209" t="str">
        <f t="shared" si="17"/>
        <v/>
      </c>
      <c r="N215" s="210" t="str">
        <f t="shared" si="18"/>
        <v/>
      </c>
      <c r="O215" s="210" t="str">
        <f t="shared" si="19"/>
        <v/>
      </c>
    </row>
    <row r="216" spans="5:15">
      <c r="E216" s="364"/>
      <c r="K216" s="209" t="str">
        <f t="shared" si="16"/>
        <v/>
      </c>
      <c r="L216" s="209" t="str">
        <f>IF(E216="","",IF(COUNTIFS(Table2[[#All],[De (Lote)]],Input_APM!F216)&gt;0,INDEX(Table2[[#All],[Para (Ticker Daniel)]],MATCH(Input_APM!F216,Table2[[#All],[De (Lote)]],0)),Input_APM!F216))</f>
        <v/>
      </c>
      <c r="M216" s="209" t="str">
        <f t="shared" si="17"/>
        <v/>
      </c>
      <c r="N216" s="210" t="str">
        <f t="shared" si="18"/>
        <v/>
      </c>
      <c r="O216" s="210" t="str">
        <f t="shared" si="19"/>
        <v/>
      </c>
    </row>
    <row r="217" spans="5:15">
      <c r="E217" s="364"/>
      <c r="K217" s="209" t="str">
        <f t="shared" si="16"/>
        <v/>
      </c>
      <c r="L217" s="209" t="str">
        <f>IF(E217="","",IF(COUNTIFS(Table2[[#All],[De (Lote)]],Input_APM!F217)&gt;0,INDEX(Table2[[#All],[Para (Ticker Daniel)]],MATCH(Input_APM!F217,Table2[[#All],[De (Lote)]],0)),Input_APM!F217))</f>
        <v/>
      </c>
      <c r="M217" s="209" t="str">
        <f t="shared" si="17"/>
        <v/>
      </c>
      <c r="N217" s="210" t="str">
        <f t="shared" si="18"/>
        <v/>
      </c>
      <c r="O217" s="210" t="str">
        <f t="shared" si="19"/>
        <v/>
      </c>
    </row>
    <row r="218" spans="5:15">
      <c r="E218" s="364"/>
      <c r="K218" s="209" t="str">
        <f t="shared" si="16"/>
        <v/>
      </c>
      <c r="L218" s="209" t="str">
        <f>IF(E218="","",IF(COUNTIFS(Table2[[#All],[De (Lote)]],Input_APM!F218)&gt;0,INDEX(Table2[[#All],[Para (Ticker Daniel)]],MATCH(Input_APM!F218,Table2[[#All],[De (Lote)]],0)),Input_APM!F218))</f>
        <v/>
      </c>
      <c r="M218" s="209" t="str">
        <f t="shared" si="17"/>
        <v/>
      </c>
      <c r="N218" s="210" t="str">
        <f t="shared" si="18"/>
        <v/>
      </c>
      <c r="O218" s="210" t="str">
        <f t="shared" si="19"/>
        <v/>
      </c>
    </row>
    <row r="219" spans="5:15">
      <c r="E219" s="364"/>
      <c r="K219" s="209" t="str">
        <f t="shared" si="16"/>
        <v/>
      </c>
      <c r="L219" s="209" t="str">
        <f>IF(E219="","",IF(COUNTIFS(Table2[[#All],[De (Lote)]],Input_APM!F219)&gt;0,INDEX(Table2[[#All],[Para (Ticker Daniel)]],MATCH(Input_APM!F219,Table2[[#All],[De (Lote)]],0)),Input_APM!F219))</f>
        <v/>
      </c>
      <c r="M219" s="209" t="str">
        <f t="shared" si="17"/>
        <v/>
      </c>
      <c r="N219" s="210" t="str">
        <f t="shared" si="18"/>
        <v/>
      </c>
      <c r="O219" s="210" t="str">
        <f t="shared" si="19"/>
        <v/>
      </c>
    </row>
    <row r="220" spans="5:15">
      <c r="E220" s="364"/>
      <c r="K220" s="209" t="str">
        <f t="shared" si="16"/>
        <v/>
      </c>
      <c r="L220" s="209" t="str">
        <f>IF(E220="","",IF(COUNTIFS(Table2[[#All],[De (Lote)]],Input_APM!F220)&gt;0,INDEX(Table2[[#All],[Para (Ticker Daniel)]],MATCH(Input_APM!F220,Table2[[#All],[De (Lote)]],0)),Input_APM!F220))</f>
        <v/>
      </c>
      <c r="M220" s="209" t="str">
        <f t="shared" si="17"/>
        <v/>
      </c>
      <c r="N220" s="210" t="str">
        <f t="shared" si="18"/>
        <v/>
      </c>
      <c r="O220" s="210" t="str">
        <f t="shared" si="19"/>
        <v/>
      </c>
    </row>
    <row r="221" spans="5:15">
      <c r="E221" s="364"/>
      <c r="K221" s="209" t="str">
        <f t="shared" si="16"/>
        <v/>
      </c>
      <c r="L221" s="209" t="str">
        <f>IF(E221="","",IF(COUNTIFS(Table2[[#All],[De (Lote)]],Input_APM!F221)&gt;0,INDEX(Table2[[#All],[Para (Ticker Daniel)]],MATCH(Input_APM!F221,Table2[[#All],[De (Lote)]],0)),Input_APM!F221))</f>
        <v/>
      </c>
      <c r="M221" s="209" t="str">
        <f t="shared" si="17"/>
        <v/>
      </c>
      <c r="N221" s="210" t="str">
        <f t="shared" si="18"/>
        <v/>
      </c>
      <c r="O221" s="210" t="str">
        <f t="shared" si="19"/>
        <v/>
      </c>
    </row>
    <row r="222" spans="5:15">
      <c r="E222" s="364"/>
      <c r="K222" s="209" t="str">
        <f t="shared" si="16"/>
        <v/>
      </c>
      <c r="L222" s="209" t="str">
        <f>IF(E222="","",IF(COUNTIFS(Table2[[#All],[De (Lote)]],Input_APM!F222)&gt;0,INDEX(Table2[[#All],[Para (Ticker Daniel)]],MATCH(Input_APM!F222,Table2[[#All],[De (Lote)]],0)),Input_APM!F222))</f>
        <v/>
      </c>
      <c r="M222" s="209" t="str">
        <f t="shared" si="17"/>
        <v/>
      </c>
      <c r="N222" s="210" t="str">
        <f t="shared" si="18"/>
        <v/>
      </c>
      <c r="O222" s="210" t="str">
        <f t="shared" si="19"/>
        <v/>
      </c>
    </row>
    <row r="223" spans="5:15">
      <c r="E223" s="364"/>
      <c r="K223" s="209" t="str">
        <f t="shared" si="16"/>
        <v/>
      </c>
      <c r="L223" s="209" t="str">
        <f>IF(E223="","",IF(COUNTIFS(Table2[[#All],[De (Lote)]],Input_APM!F223)&gt;0,INDEX(Table2[[#All],[Para (Ticker Daniel)]],MATCH(Input_APM!F223,Table2[[#All],[De (Lote)]],0)),Input_APM!F223))</f>
        <v/>
      </c>
      <c r="M223" s="209" t="str">
        <f t="shared" si="17"/>
        <v/>
      </c>
      <c r="N223" s="210" t="str">
        <f t="shared" si="18"/>
        <v/>
      </c>
      <c r="O223" s="210" t="str">
        <f t="shared" si="19"/>
        <v/>
      </c>
    </row>
    <row r="224" spans="5:15">
      <c r="E224" s="364"/>
      <c r="K224" s="209" t="str">
        <f t="shared" si="16"/>
        <v/>
      </c>
      <c r="L224" s="209" t="str">
        <f>IF(E224="","",IF(COUNTIFS(Table2[[#All],[De (Lote)]],Input_APM!F224)&gt;0,INDEX(Table2[[#All],[Para (Ticker Daniel)]],MATCH(Input_APM!F224,Table2[[#All],[De (Lote)]],0)),Input_APM!F224))</f>
        <v/>
      </c>
      <c r="M224" s="209" t="str">
        <f t="shared" si="17"/>
        <v/>
      </c>
      <c r="N224" s="210" t="str">
        <f t="shared" si="18"/>
        <v/>
      </c>
      <c r="O224" s="210" t="str">
        <f t="shared" si="19"/>
        <v/>
      </c>
    </row>
    <row r="225" spans="5:15">
      <c r="E225" s="364"/>
      <c r="K225" s="209" t="str">
        <f t="shared" si="16"/>
        <v/>
      </c>
      <c r="L225" s="209" t="str">
        <f>IF(E225="","",IF(COUNTIFS(Table2[[#All],[De (Lote)]],Input_APM!F225)&gt;0,INDEX(Table2[[#All],[Para (Ticker Daniel)]],MATCH(Input_APM!F225,Table2[[#All],[De (Lote)]],0)),Input_APM!F225))</f>
        <v/>
      </c>
      <c r="M225" s="209" t="str">
        <f t="shared" si="17"/>
        <v/>
      </c>
      <c r="N225" s="210" t="str">
        <f t="shared" si="18"/>
        <v/>
      </c>
      <c r="O225" s="210" t="str">
        <f t="shared" si="19"/>
        <v/>
      </c>
    </row>
    <row r="226" spans="5:15">
      <c r="E226" s="364"/>
      <c r="K226" s="209" t="str">
        <f t="shared" si="16"/>
        <v/>
      </c>
      <c r="L226" s="209" t="str">
        <f>IF(E226="","",IF(COUNTIFS(Table2[[#All],[De (Lote)]],Input_APM!F226)&gt;0,INDEX(Table2[[#All],[Para (Ticker Daniel)]],MATCH(Input_APM!F226,Table2[[#All],[De (Lote)]],0)),Input_APM!F226))</f>
        <v/>
      </c>
      <c r="M226" s="209" t="str">
        <f t="shared" si="17"/>
        <v/>
      </c>
      <c r="N226" s="210" t="str">
        <f t="shared" si="18"/>
        <v/>
      </c>
      <c r="O226" s="210" t="str">
        <f t="shared" si="19"/>
        <v/>
      </c>
    </row>
    <row r="227" spans="5:15">
      <c r="E227" s="364"/>
      <c r="K227" s="209" t="str">
        <f t="shared" si="16"/>
        <v/>
      </c>
      <c r="L227" s="209" t="str">
        <f>IF(E227="","",IF(COUNTIFS(Table2[[#All],[De (Lote)]],Input_APM!F227)&gt;0,INDEX(Table2[[#All],[Para (Ticker Daniel)]],MATCH(Input_APM!F227,Table2[[#All],[De (Lote)]],0)),Input_APM!F227))</f>
        <v/>
      </c>
      <c r="M227" s="209" t="str">
        <f t="shared" si="17"/>
        <v/>
      </c>
      <c r="N227" s="210" t="str">
        <f t="shared" si="18"/>
        <v/>
      </c>
      <c r="O227" s="210" t="str">
        <f t="shared" si="19"/>
        <v/>
      </c>
    </row>
    <row r="228" spans="5:15">
      <c r="E228" s="364"/>
      <c r="K228" s="209" t="str">
        <f t="shared" si="16"/>
        <v/>
      </c>
      <c r="L228" s="209" t="str">
        <f>IF(E228="","",IF(COUNTIFS(Table2[[#All],[De (Lote)]],Input_APM!F228)&gt;0,INDEX(Table2[[#All],[Para (Ticker Daniel)]],MATCH(Input_APM!F228,Table2[[#All],[De (Lote)]],0)),Input_APM!F228))</f>
        <v/>
      </c>
      <c r="M228" s="209" t="str">
        <f t="shared" si="17"/>
        <v/>
      </c>
      <c r="N228" s="210" t="str">
        <f t="shared" si="18"/>
        <v/>
      </c>
      <c r="O228" s="210" t="str">
        <f t="shared" si="19"/>
        <v/>
      </c>
    </row>
    <row r="229" spans="5:15">
      <c r="E229" s="364"/>
      <c r="K229" s="209" t="str">
        <f t="shared" si="16"/>
        <v/>
      </c>
      <c r="L229" s="209" t="str">
        <f>IF(E229="","",IF(COUNTIFS(Table2[[#All],[De (Lote)]],Input_APM!F229)&gt;0,INDEX(Table2[[#All],[Para (Ticker Daniel)]],MATCH(Input_APM!F229,Table2[[#All],[De (Lote)]],0)),Input_APM!F229))</f>
        <v/>
      </c>
      <c r="M229" s="209" t="str">
        <f t="shared" si="17"/>
        <v/>
      </c>
      <c r="N229" s="210" t="str">
        <f t="shared" si="18"/>
        <v/>
      </c>
      <c r="O229" s="210" t="str">
        <f t="shared" si="19"/>
        <v/>
      </c>
    </row>
    <row r="230" spans="5:15">
      <c r="E230" s="364"/>
      <c r="K230" s="209" t="str">
        <f t="shared" si="16"/>
        <v/>
      </c>
      <c r="L230" s="209" t="str">
        <f>IF(E230="","",IF(COUNTIFS(Table2[[#All],[De (Lote)]],Input_APM!F230)&gt;0,INDEX(Table2[[#All],[Para (Ticker Daniel)]],MATCH(Input_APM!F230,Table2[[#All],[De (Lote)]],0)),Input_APM!F230))</f>
        <v/>
      </c>
      <c r="M230" s="209" t="str">
        <f t="shared" si="17"/>
        <v/>
      </c>
      <c r="N230" s="210" t="str">
        <f t="shared" si="18"/>
        <v/>
      </c>
      <c r="O230" s="210" t="str">
        <f t="shared" si="19"/>
        <v/>
      </c>
    </row>
    <row r="231" spans="5:15">
      <c r="E231" s="364"/>
      <c r="K231" s="209" t="str">
        <f t="shared" si="16"/>
        <v/>
      </c>
      <c r="L231" s="209" t="str">
        <f>IF(E231="","",IF(COUNTIFS(Table2[[#All],[De (Lote)]],Input_APM!F231)&gt;0,INDEX(Table2[[#All],[Para (Ticker Daniel)]],MATCH(Input_APM!F231,Table2[[#All],[De (Lote)]],0)),Input_APM!F231))</f>
        <v/>
      </c>
      <c r="M231" s="209" t="str">
        <f t="shared" si="17"/>
        <v/>
      </c>
      <c r="N231" s="210" t="str">
        <f t="shared" si="18"/>
        <v/>
      </c>
      <c r="O231" s="210" t="str">
        <f t="shared" si="19"/>
        <v/>
      </c>
    </row>
    <row r="232" spans="5:15">
      <c r="E232" s="364"/>
      <c r="K232" s="209" t="str">
        <f t="shared" si="16"/>
        <v/>
      </c>
      <c r="L232" s="209" t="str">
        <f>IF(E232="","",IF(COUNTIFS(Table2[[#All],[De (Lote)]],Input_APM!F232)&gt;0,INDEX(Table2[[#All],[Para (Ticker Daniel)]],MATCH(Input_APM!F232,Table2[[#All],[De (Lote)]],0)),Input_APM!F232))</f>
        <v/>
      </c>
      <c r="M232" s="209" t="str">
        <f t="shared" si="17"/>
        <v/>
      </c>
      <c r="N232" s="210" t="str">
        <f t="shared" si="18"/>
        <v/>
      </c>
      <c r="O232" s="210" t="str">
        <f t="shared" si="19"/>
        <v/>
      </c>
    </row>
    <row r="233" spans="5:15">
      <c r="E233" s="364"/>
      <c r="K233" s="209" t="str">
        <f t="shared" si="16"/>
        <v/>
      </c>
      <c r="L233" s="209" t="str">
        <f>IF(E233="","",IF(COUNTIFS(Table2[[#All],[De (Lote)]],Input_APM!F233)&gt;0,INDEX(Table2[[#All],[Para (Ticker Daniel)]],MATCH(Input_APM!F233,Table2[[#All],[De (Lote)]],0)),Input_APM!F233))</f>
        <v/>
      </c>
      <c r="M233" s="209" t="str">
        <f t="shared" si="17"/>
        <v/>
      </c>
      <c r="N233" s="210" t="str">
        <f t="shared" si="18"/>
        <v/>
      </c>
      <c r="O233" s="210" t="str">
        <f t="shared" si="19"/>
        <v/>
      </c>
    </row>
    <row r="234" spans="5:15">
      <c r="E234" s="364"/>
      <c r="K234" s="209" t="str">
        <f t="shared" si="16"/>
        <v/>
      </c>
      <c r="L234" s="209" t="str">
        <f>IF(E234="","",IF(COUNTIFS(Table2[[#All],[De (Lote)]],Input_APM!F234)&gt;0,INDEX(Table2[[#All],[Para (Ticker Daniel)]],MATCH(Input_APM!F234,Table2[[#All],[De (Lote)]],0)),Input_APM!F234))</f>
        <v/>
      </c>
      <c r="M234" s="209" t="str">
        <f t="shared" si="17"/>
        <v/>
      </c>
      <c r="N234" s="210" t="str">
        <f t="shared" si="18"/>
        <v/>
      </c>
      <c r="O234" s="210" t="str">
        <f t="shared" si="19"/>
        <v/>
      </c>
    </row>
    <row r="235" spans="5:15">
      <c r="E235" s="364"/>
      <c r="K235" s="209" t="str">
        <f>IF(E235="","",E235)</f>
        <v/>
      </c>
      <c r="L235" s="209" t="str">
        <f>IF(E235="","",IF(COUNTIFS(Table2[[#All],[De (Lote)]],Input_APM!F235)&gt;0,INDEX(Table2[[#All],[Para (Ticker Daniel)]],MATCH(Input_APM!F235,Table2[[#All],[De (Lote)]],0)),Input_APM!F235))</f>
        <v/>
      </c>
      <c r="M235" s="209" t="str">
        <f>IF(E235="","",G235)</f>
        <v/>
      </c>
      <c r="N235" s="210" t="str">
        <f>IF(E235="","",H235)</f>
        <v/>
      </c>
      <c r="O235" s="210" t="str">
        <f>IF(E235="","",I235)</f>
        <v/>
      </c>
    </row>
    <row r="236" spans="5:15">
      <c r="E236" s="364"/>
      <c r="K236" s="209" t="str">
        <f>IF(E236="","",E236)</f>
        <v/>
      </c>
      <c r="L236" s="209" t="str">
        <f>IF(E236="","",IF(COUNTIFS(Table2[[#All],[De (Lote)]],Input_APM!F236)&gt;0,INDEX(Table2[[#All],[Para (Ticker Daniel)]],MATCH(Input_APM!F236,Table2[[#All],[De (Lote)]],0)),Input_APM!F236))</f>
        <v/>
      </c>
      <c r="M236" s="209" t="str">
        <f>IF(E236="","",G236)</f>
        <v/>
      </c>
      <c r="N236" s="210" t="str">
        <f>IF(E236="","",H236)</f>
        <v/>
      </c>
      <c r="O236" s="210" t="str">
        <f>IF(E236="","",I236)</f>
        <v/>
      </c>
    </row>
    <row r="237" spans="5:15">
      <c r="E237" s="364"/>
      <c r="K237" s="209" t="str">
        <f>IF(E237="","",E237)</f>
        <v/>
      </c>
      <c r="L237" s="209" t="str">
        <f>IF(E237="","",IF(COUNTIFS(Table2[[#All],[De (Lote)]],Input_APM!F237)&gt;0,INDEX(Table2[[#All],[Para (Ticker Daniel)]],MATCH(Input_APM!F237,Table2[[#All],[De (Lote)]],0)),Input_APM!F237))</f>
        <v/>
      </c>
      <c r="M237" s="209" t="str">
        <f>IF(E237="","",G237)</f>
        <v/>
      </c>
      <c r="N237" s="210" t="str">
        <f>IF(E237="","",H237)</f>
        <v/>
      </c>
      <c r="O237" s="210" t="str">
        <f>IF(E237="","",I237)</f>
        <v/>
      </c>
    </row>
    <row r="238" spans="5:15">
      <c r="E238" s="364"/>
      <c r="K238" s="209" t="str">
        <f>IF(E238="","",E238)</f>
        <v/>
      </c>
      <c r="L238" s="209" t="str">
        <f>IF(E238="","",IF(COUNTIFS(Table2[[#All],[De (Lote)]],Input_APM!F238)&gt;0,INDEX(Table2[[#All],[Para (Ticker Daniel)]],MATCH(Input_APM!F238,Table2[[#All],[De (Lote)]],0)),Input_APM!F238))</f>
        <v/>
      </c>
      <c r="M238" s="209" t="str">
        <f>IF(E238="","",G238)</f>
        <v/>
      </c>
      <c r="N238" s="210" t="str">
        <f>IF(E238="","",H238)</f>
        <v/>
      </c>
      <c r="O238" s="210" t="str">
        <f>IF(E238="","",I238)</f>
        <v/>
      </c>
    </row>
    <row r="239" spans="5:15">
      <c r="E239" s="364"/>
      <c r="K239" s="209" t="str">
        <f>IF(E239="","",E239)</f>
        <v/>
      </c>
      <c r="L239" s="209" t="str">
        <f>IF(E239="","",IF(COUNTIFS(Table2[[#All],[De (Lote)]],Input_APM!F239)&gt;0,INDEX(Table2[[#All],[Para (Ticker Daniel)]],MATCH(Input_APM!F239,Table2[[#All],[De (Lote)]],0)),Input_APM!F239))</f>
        <v/>
      </c>
      <c r="M239" s="209" t="str">
        <f>IF(E239="","",G239)</f>
        <v/>
      </c>
      <c r="N239" s="210" t="str">
        <f>IF(E239="","",H239)</f>
        <v/>
      </c>
      <c r="O239" s="210" t="str">
        <f>IF(E239="","",I239)</f>
        <v/>
      </c>
    </row>
    <row r="240" spans="5:15">
      <c r="E240" s="364"/>
      <c r="K240" s="209" t="str">
        <f t="shared" ref="K240:K303" si="20">IF(E240="","",E240)</f>
        <v/>
      </c>
      <c r="L240" s="209" t="str">
        <f>IF(E240="","",IF(COUNTIFS(Table2[[#All],[De (Lote)]],Input_APM!F240)&gt;0,INDEX(Table2[[#All],[Para (Ticker Daniel)]],MATCH(Input_APM!F240,Table2[[#All],[De (Lote)]],0)),Input_APM!F240))</f>
        <v/>
      </c>
      <c r="M240" s="209" t="str">
        <f t="shared" ref="M240:M303" si="21">IF(E240="","",G240)</f>
        <v/>
      </c>
      <c r="N240" s="210" t="str">
        <f t="shared" ref="N240:N303" si="22">IF(E240="","",H240)</f>
        <v/>
      </c>
      <c r="O240" s="210" t="str">
        <f t="shared" ref="O240:O303" si="23">IF(E240="","",I240)</f>
        <v/>
      </c>
    </row>
    <row r="241" spans="5:15">
      <c r="E241" s="364"/>
      <c r="K241" s="209" t="str">
        <f t="shared" si="20"/>
        <v/>
      </c>
      <c r="L241" s="209" t="str">
        <f>IF(E241="","",IF(COUNTIFS(Table2[[#All],[De (Lote)]],Input_APM!F241)&gt;0,INDEX(Table2[[#All],[Para (Ticker Daniel)]],MATCH(Input_APM!F241,Table2[[#All],[De (Lote)]],0)),Input_APM!F241))</f>
        <v/>
      </c>
      <c r="M241" s="209" t="str">
        <f t="shared" si="21"/>
        <v/>
      </c>
      <c r="N241" s="210" t="str">
        <f t="shared" si="22"/>
        <v/>
      </c>
      <c r="O241" s="210" t="str">
        <f t="shared" si="23"/>
        <v/>
      </c>
    </row>
    <row r="242" spans="5:15">
      <c r="E242" s="364"/>
      <c r="K242" s="209" t="str">
        <f t="shared" si="20"/>
        <v/>
      </c>
      <c r="L242" s="209" t="str">
        <f>IF(E242="","",IF(COUNTIFS(Table2[[#All],[De (Lote)]],Input_APM!F242)&gt;0,INDEX(Table2[[#All],[Para (Ticker Daniel)]],MATCH(Input_APM!F242,Table2[[#All],[De (Lote)]],0)),Input_APM!F242))</f>
        <v/>
      </c>
      <c r="M242" s="209" t="str">
        <f t="shared" si="21"/>
        <v/>
      </c>
      <c r="N242" s="210" t="str">
        <f t="shared" si="22"/>
        <v/>
      </c>
      <c r="O242" s="210" t="str">
        <f t="shared" si="23"/>
        <v/>
      </c>
    </row>
    <row r="243" spans="5:15">
      <c r="E243" s="364"/>
      <c r="K243" s="209" t="str">
        <f t="shared" si="20"/>
        <v/>
      </c>
      <c r="L243" s="209" t="str">
        <f>IF(E243="","",IF(COUNTIFS(Table2[[#All],[De (Lote)]],Input_APM!F243)&gt;0,INDEX(Table2[[#All],[Para (Ticker Daniel)]],MATCH(Input_APM!F243,Table2[[#All],[De (Lote)]],0)),Input_APM!F243))</f>
        <v/>
      </c>
      <c r="M243" s="209" t="str">
        <f t="shared" si="21"/>
        <v/>
      </c>
      <c r="N243" s="210" t="str">
        <f t="shared" si="22"/>
        <v/>
      </c>
      <c r="O243" s="210" t="str">
        <f t="shared" si="23"/>
        <v/>
      </c>
    </row>
    <row r="244" spans="5:15">
      <c r="E244" s="364"/>
      <c r="K244" s="209" t="str">
        <f t="shared" si="20"/>
        <v/>
      </c>
      <c r="L244" s="209" t="str">
        <f>IF(E244="","",IF(COUNTIFS(Table2[[#All],[De (Lote)]],Input_APM!F244)&gt;0,INDEX(Table2[[#All],[Para (Ticker Daniel)]],MATCH(Input_APM!F244,Table2[[#All],[De (Lote)]],0)),Input_APM!F244))</f>
        <v/>
      </c>
      <c r="M244" s="209" t="str">
        <f t="shared" si="21"/>
        <v/>
      </c>
      <c r="N244" s="210" t="str">
        <f t="shared" si="22"/>
        <v/>
      </c>
      <c r="O244" s="210" t="str">
        <f t="shared" si="23"/>
        <v/>
      </c>
    </row>
    <row r="245" spans="5:15">
      <c r="E245" s="364"/>
      <c r="K245" s="209" t="str">
        <f t="shared" si="20"/>
        <v/>
      </c>
      <c r="L245" s="209" t="str">
        <f>IF(E245="","",IF(COUNTIFS(Table2[[#All],[De (Lote)]],Input_APM!F245)&gt;0,INDEX(Table2[[#All],[Para (Ticker Daniel)]],MATCH(Input_APM!F245,Table2[[#All],[De (Lote)]],0)),Input_APM!F245))</f>
        <v/>
      </c>
      <c r="M245" s="209" t="str">
        <f t="shared" si="21"/>
        <v/>
      </c>
      <c r="N245" s="210" t="str">
        <f t="shared" si="22"/>
        <v/>
      </c>
      <c r="O245" s="210" t="str">
        <f t="shared" si="23"/>
        <v/>
      </c>
    </row>
    <row r="246" spans="5:15">
      <c r="E246" s="364"/>
      <c r="K246" s="209" t="str">
        <f t="shared" si="20"/>
        <v/>
      </c>
      <c r="L246" s="209" t="str">
        <f>IF(E246="","",IF(COUNTIFS(Table2[[#All],[De (Lote)]],Input_APM!F246)&gt;0,INDEX(Table2[[#All],[Para (Ticker Daniel)]],MATCH(Input_APM!F246,Table2[[#All],[De (Lote)]],0)),Input_APM!F246))</f>
        <v/>
      </c>
      <c r="M246" s="209" t="str">
        <f t="shared" si="21"/>
        <v/>
      </c>
      <c r="N246" s="210" t="str">
        <f t="shared" si="22"/>
        <v/>
      </c>
      <c r="O246" s="210" t="str">
        <f t="shared" si="23"/>
        <v/>
      </c>
    </row>
    <row r="247" spans="5:15">
      <c r="E247" s="364"/>
      <c r="K247" s="209" t="str">
        <f t="shared" si="20"/>
        <v/>
      </c>
      <c r="L247" s="209" t="str">
        <f>IF(E247="","",IF(COUNTIFS(Table2[[#All],[De (Lote)]],Input_APM!F247)&gt;0,INDEX(Table2[[#All],[Para (Ticker Daniel)]],MATCH(Input_APM!F247,Table2[[#All],[De (Lote)]],0)),Input_APM!F247))</f>
        <v/>
      </c>
      <c r="M247" s="209" t="str">
        <f t="shared" si="21"/>
        <v/>
      </c>
      <c r="N247" s="210" t="str">
        <f t="shared" si="22"/>
        <v/>
      </c>
      <c r="O247" s="210" t="str">
        <f t="shared" si="23"/>
        <v/>
      </c>
    </row>
    <row r="248" spans="5:15">
      <c r="E248" s="364"/>
      <c r="K248" s="209" t="str">
        <f t="shared" si="20"/>
        <v/>
      </c>
      <c r="L248" s="209" t="str">
        <f>IF(E248="","",IF(COUNTIFS(Table2[[#All],[De (Lote)]],Input_APM!F248)&gt;0,INDEX(Table2[[#All],[Para (Ticker Daniel)]],MATCH(Input_APM!F248,Table2[[#All],[De (Lote)]],0)),Input_APM!F248))</f>
        <v/>
      </c>
      <c r="M248" s="209" t="str">
        <f t="shared" si="21"/>
        <v/>
      </c>
      <c r="N248" s="210" t="str">
        <f t="shared" si="22"/>
        <v/>
      </c>
      <c r="O248" s="210" t="str">
        <f t="shared" si="23"/>
        <v/>
      </c>
    </row>
    <row r="249" spans="5:15">
      <c r="E249" s="364"/>
      <c r="K249" s="209" t="str">
        <f t="shared" si="20"/>
        <v/>
      </c>
      <c r="L249" s="209" t="str">
        <f>IF(E249="","",IF(COUNTIFS(Table2[[#All],[De (Lote)]],Input_APM!F249)&gt;0,INDEX(Table2[[#All],[Para (Ticker Daniel)]],MATCH(Input_APM!F249,Table2[[#All],[De (Lote)]],0)),Input_APM!F249))</f>
        <v/>
      </c>
      <c r="M249" s="209" t="str">
        <f t="shared" si="21"/>
        <v/>
      </c>
      <c r="N249" s="210" t="str">
        <f t="shared" si="22"/>
        <v/>
      </c>
      <c r="O249" s="210" t="str">
        <f t="shared" si="23"/>
        <v/>
      </c>
    </row>
    <row r="250" spans="5:15">
      <c r="E250" s="364"/>
      <c r="K250" s="209" t="str">
        <f t="shared" si="20"/>
        <v/>
      </c>
      <c r="L250" s="209" t="str">
        <f>IF(E250="","",IF(COUNTIFS(Table2[[#All],[De (Lote)]],Input_APM!F250)&gt;0,INDEX(Table2[[#All],[Para (Ticker Daniel)]],MATCH(Input_APM!F250,Table2[[#All],[De (Lote)]],0)),Input_APM!F250))</f>
        <v/>
      </c>
      <c r="M250" s="209" t="str">
        <f t="shared" si="21"/>
        <v/>
      </c>
      <c r="N250" s="210" t="str">
        <f t="shared" si="22"/>
        <v/>
      </c>
      <c r="O250" s="210" t="str">
        <f t="shared" si="23"/>
        <v/>
      </c>
    </row>
    <row r="251" spans="5:15">
      <c r="E251" s="364"/>
      <c r="K251" s="209" t="str">
        <f t="shared" si="20"/>
        <v/>
      </c>
      <c r="L251" s="209" t="str">
        <f>IF(E251="","",IF(COUNTIFS(Table2[[#All],[De (Lote)]],Input_APM!F251)&gt;0,INDEX(Table2[[#All],[Para (Ticker Daniel)]],MATCH(Input_APM!F251,Table2[[#All],[De (Lote)]],0)),Input_APM!F251))</f>
        <v/>
      </c>
      <c r="M251" s="209" t="str">
        <f t="shared" si="21"/>
        <v/>
      </c>
      <c r="N251" s="210" t="str">
        <f t="shared" si="22"/>
        <v/>
      </c>
      <c r="O251" s="210" t="str">
        <f t="shared" si="23"/>
        <v/>
      </c>
    </row>
    <row r="252" spans="5:15">
      <c r="E252" s="364"/>
      <c r="K252" s="209" t="str">
        <f t="shared" si="20"/>
        <v/>
      </c>
      <c r="L252" s="209" t="str">
        <f>IF(E252="","",IF(COUNTIFS(Table2[[#All],[De (Lote)]],Input_APM!F252)&gt;0,INDEX(Table2[[#All],[Para (Ticker Daniel)]],MATCH(Input_APM!F252,Table2[[#All],[De (Lote)]],0)),Input_APM!F252))</f>
        <v/>
      </c>
      <c r="M252" s="209" t="str">
        <f t="shared" si="21"/>
        <v/>
      </c>
      <c r="N252" s="210" t="str">
        <f t="shared" si="22"/>
        <v/>
      </c>
      <c r="O252" s="210" t="str">
        <f t="shared" si="23"/>
        <v/>
      </c>
    </row>
    <row r="253" spans="5:15">
      <c r="E253" s="364"/>
      <c r="K253" s="209" t="str">
        <f t="shared" si="20"/>
        <v/>
      </c>
      <c r="L253" s="209" t="str">
        <f>IF(E253="","",IF(COUNTIFS(Table2[[#All],[De (Lote)]],Input_APM!F253)&gt;0,INDEX(Table2[[#All],[Para (Ticker Daniel)]],MATCH(Input_APM!F253,Table2[[#All],[De (Lote)]],0)),Input_APM!F253))</f>
        <v/>
      </c>
      <c r="M253" s="209" t="str">
        <f t="shared" si="21"/>
        <v/>
      </c>
      <c r="N253" s="210" t="str">
        <f t="shared" si="22"/>
        <v/>
      </c>
      <c r="O253" s="210" t="str">
        <f t="shared" si="23"/>
        <v/>
      </c>
    </row>
    <row r="254" spans="5:15">
      <c r="E254" s="364"/>
      <c r="K254" s="209" t="str">
        <f t="shared" si="20"/>
        <v/>
      </c>
      <c r="L254" s="209" t="str">
        <f>IF(E254="","",IF(COUNTIFS(Table2[[#All],[De (Lote)]],Input_APM!F254)&gt;0,INDEX(Table2[[#All],[Para (Ticker Daniel)]],MATCH(Input_APM!F254,Table2[[#All],[De (Lote)]],0)),Input_APM!F254))</f>
        <v/>
      </c>
      <c r="M254" s="209" t="str">
        <f t="shared" si="21"/>
        <v/>
      </c>
      <c r="N254" s="210" t="str">
        <f t="shared" si="22"/>
        <v/>
      </c>
      <c r="O254" s="210" t="str">
        <f t="shared" si="23"/>
        <v/>
      </c>
    </row>
    <row r="255" spans="5:15">
      <c r="E255" s="364"/>
      <c r="K255" s="209" t="str">
        <f t="shared" si="20"/>
        <v/>
      </c>
      <c r="L255" s="209" t="str">
        <f>IF(E255="","",IF(COUNTIFS(Table2[[#All],[De (Lote)]],Input_APM!F255)&gt;0,INDEX(Table2[[#All],[Para (Ticker Daniel)]],MATCH(Input_APM!F255,Table2[[#All],[De (Lote)]],0)),Input_APM!F255))</f>
        <v/>
      </c>
      <c r="M255" s="209" t="str">
        <f t="shared" si="21"/>
        <v/>
      </c>
      <c r="N255" s="210" t="str">
        <f t="shared" si="22"/>
        <v/>
      </c>
      <c r="O255" s="210" t="str">
        <f t="shared" si="23"/>
        <v/>
      </c>
    </row>
    <row r="256" spans="5:15">
      <c r="E256" s="364"/>
      <c r="K256" s="209" t="str">
        <f t="shared" si="20"/>
        <v/>
      </c>
      <c r="L256" s="209" t="str">
        <f>IF(E256="","",IF(COUNTIFS(Table2[[#All],[De (Lote)]],Input_APM!F256)&gt;0,INDEX(Table2[[#All],[Para (Ticker Daniel)]],MATCH(Input_APM!F256,Table2[[#All],[De (Lote)]],0)),Input_APM!F256))</f>
        <v/>
      </c>
      <c r="M256" s="209" t="str">
        <f t="shared" si="21"/>
        <v/>
      </c>
      <c r="N256" s="210" t="str">
        <f t="shared" si="22"/>
        <v/>
      </c>
      <c r="O256" s="210" t="str">
        <f t="shared" si="23"/>
        <v/>
      </c>
    </row>
    <row r="257" spans="5:15">
      <c r="E257" s="364"/>
      <c r="K257" s="209" t="str">
        <f t="shared" si="20"/>
        <v/>
      </c>
      <c r="L257" s="209" t="str">
        <f>IF(E257="","",IF(COUNTIFS(Table2[[#All],[De (Lote)]],Input_APM!F257)&gt;0,INDEX(Table2[[#All],[Para (Ticker Daniel)]],MATCH(Input_APM!F257,Table2[[#All],[De (Lote)]],0)),Input_APM!F257))</f>
        <v/>
      </c>
      <c r="M257" s="209" t="str">
        <f t="shared" si="21"/>
        <v/>
      </c>
      <c r="N257" s="210" t="str">
        <f t="shared" si="22"/>
        <v/>
      </c>
      <c r="O257" s="210" t="str">
        <f t="shared" si="23"/>
        <v/>
      </c>
    </row>
    <row r="258" spans="5:15">
      <c r="E258" s="364"/>
      <c r="K258" s="209" t="str">
        <f t="shared" si="20"/>
        <v/>
      </c>
      <c r="L258" s="209" t="str">
        <f>IF(E258="","",IF(COUNTIFS(Table2[[#All],[De (Lote)]],Input_APM!F258)&gt;0,INDEX(Table2[[#All],[Para (Ticker Daniel)]],MATCH(Input_APM!F258,Table2[[#All],[De (Lote)]],0)),Input_APM!F258))</f>
        <v/>
      </c>
      <c r="M258" s="209" t="str">
        <f t="shared" si="21"/>
        <v/>
      </c>
      <c r="N258" s="210" t="str">
        <f t="shared" si="22"/>
        <v/>
      </c>
      <c r="O258" s="210" t="str">
        <f t="shared" si="23"/>
        <v/>
      </c>
    </row>
    <row r="259" spans="5:15">
      <c r="E259" s="364"/>
      <c r="K259" s="209" t="str">
        <f t="shared" si="20"/>
        <v/>
      </c>
      <c r="L259" s="209" t="str">
        <f>IF(E259="","",IF(COUNTIFS(Table2[[#All],[De (Lote)]],Input_APM!F259)&gt;0,INDEX(Table2[[#All],[Para (Ticker Daniel)]],MATCH(Input_APM!F259,Table2[[#All],[De (Lote)]],0)),Input_APM!F259))</f>
        <v/>
      </c>
      <c r="M259" s="209" t="str">
        <f t="shared" si="21"/>
        <v/>
      </c>
      <c r="N259" s="210" t="str">
        <f t="shared" si="22"/>
        <v/>
      </c>
      <c r="O259" s="210" t="str">
        <f t="shared" si="23"/>
        <v/>
      </c>
    </row>
    <row r="260" spans="5:15">
      <c r="E260" s="364"/>
      <c r="K260" s="209" t="str">
        <f t="shared" si="20"/>
        <v/>
      </c>
      <c r="L260" s="209" t="str">
        <f>IF(E260="","",IF(COUNTIFS(Table2[[#All],[De (Lote)]],Input_APM!F260)&gt;0,INDEX(Table2[[#All],[Para (Ticker Daniel)]],MATCH(Input_APM!F260,Table2[[#All],[De (Lote)]],0)),Input_APM!F260))</f>
        <v/>
      </c>
      <c r="M260" s="209" t="str">
        <f t="shared" si="21"/>
        <v/>
      </c>
      <c r="N260" s="210" t="str">
        <f t="shared" si="22"/>
        <v/>
      </c>
      <c r="O260" s="210" t="str">
        <f t="shared" si="23"/>
        <v/>
      </c>
    </row>
    <row r="261" spans="5:15">
      <c r="E261" s="364"/>
      <c r="K261" s="209" t="str">
        <f t="shared" si="20"/>
        <v/>
      </c>
      <c r="L261" s="209" t="str">
        <f>IF(E261="","",IF(COUNTIFS(Table2[[#All],[De (Lote)]],Input_APM!F261)&gt;0,INDEX(Table2[[#All],[Para (Ticker Daniel)]],MATCH(Input_APM!F261,Table2[[#All],[De (Lote)]],0)),Input_APM!F261))</f>
        <v/>
      </c>
      <c r="M261" s="209" t="str">
        <f t="shared" si="21"/>
        <v/>
      </c>
      <c r="N261" s="210" t="str">
        <f t="shared" si="22"/>
        <v/>
      </c>
      <c r="O261" s="210" t="str">
        <f t="shared" si="23"/>
        <v/>
      </c>
    </row>
    <row r="262" spans="5:15">
      <c r="E262" s="364"/>
      <c r="K262" s="209" t="str">
        <f t="shared" si="20"/>
        <v/>
      </c>
      <c r="L262" s="209" t="str">
        <f>IF(E262="","",IF(COUNTIFS(Table2[[#All],[De (Lote)]],Input_APM!F262)&gt;0,INDEX(Table2[[#All],[Para (Ticker Daniel)]],MATCH(Input_APM!F262,Table2[[#All],[De (Lote)]],0)),Input_APM!F262))</f>
        <v/>
      </c>
      <c r="M262" s="209" t="str">
        <f t="shared" si="21"/>
        <v/>
      </c>
      <c r="N262" s="210" t="str">
        <f t="shared" si="22"/>
        <v/>
      </c>
      <c r="O262" s="210" t="str">
        <f t="shared" si="23"/>
        <v/>
      </c>
    </row>
    <row r="263" spans="5:15">
      <c r="E263" s="364"/>
      <c r="K263" s="209" t="str">
        <f t="shared" si="20"/>
        <v/>
      </c>
      <c r="L263" s="209" t="str">
        <f>IF(E263="","",IF(COUNTIFS(Table2[[#All],[De (Lote)]],Input_APM!F263)&gt;0,INDEX(Table2[[#All],[Para (Ticker Daniel)]],MATCH(Input_APM!F263,Table2[[#All],[De (Lote)]],0)),Input_APM!F263))</f>
        <v/>
      </c>
      <c r="M263" s="209" t="str">
        <f t="shared" si="21"/>
        <v/>
      </c>
      <c r="N263" s="210" t="str">
        <f t="shared" si="22"/>
        <v/>
      </c>
      <c r="O263" s="210" t="str">
        <f t="shared" si="23"/>
        <v/>
      </c>
    </row>
    <row r="264" spans="5:15">
      <c r="E264" s="364"/>
      <c r="K264" s="209" t="str">
        <f t="shared" si="20"/>
        <v/>
      </c>
      <c r="L264" s="209" t="str">
        <f>IF(E264="","",IF(COUNTIFS(Table2[[#All],[De (Lote)]],Input_APM!F264)&gt;0,INDEX(Table2[[#All],[Para (Ticker Daniel)]],MATCH(Input_APM!F264,Table2[[#All],[De (Lote)]],0)),Input_APM!F264))</f>
        <v/>
      </c>
      <c r="M264" s="209" t="str">
        <f t="shared" si="21"/>
        <v/>
      </c>
      <c r="N264" s="210" t="str">
        <f t="shared" si="22"/>
        <v/>
      </c>
      <c r="O264" s="210" t="str">
        <f t="shared" si="23"/>
        <v/>
      </c>
    </row>
    <row r="265" spans="5:15">
      <c r="E265" s="364"/>
      <c r="K265" s="209" t="str">
        <f t="shared" si="20"/>
        <v/>
      </c>
      <c r="L265" s="209" t="str">
        <f>IF(E265="","",IF(COUNTIFS(Table2[[#All],[De (Lote)]],Input_APM!F265)&gt;0,INDEX(Table2[[#All],[Para (Ticker Daniel)]],MATCH(Input_APM!F265,Table2[[#All],[De (Lote)]],0)),Input_APM!F265))</f>
        <v/>
      </c>
      <c r="M265" s="209" t="str">
        <f t="shared" si="21"/>
        <v/>
      </c>
      <c r="N265" s="210" t="str">
        <f t="shared" si="22"/>
        <v/>
      </c>
      <c r="O265" s="210" t="str">
        <f t="shared" si="23"/>
        <v/>
      </c>
    </row>
    <row r="266" spans="5:15">
      <c r="E266" s="364"/>
      <c r="K266" s="209" t="str">
        <f t="shared" si="20"/>
        <v/>
      </c>
      <c r="L266" s="209" t="str">
        <f>IF(E266="","",IF(COUNTIFS(Table2[[#All],[De (Lote)]],Input_APM!F266)&gt;0,INDEX(Table2[[#All],[Para (Ticker Daniel)]],MATCH(Input_APM!F266,Table2[[#All],[De (Lote)]],0)),Input_APM!F266))</f>
        <v/>
      </c>
      <c r="M266" s="209" t="str">
        <f t="shared" si="21"/>
        <v/>
      </c>
      <c r="N266" s="210" t="str">
        <f t="shared" si="22"/>
        <v/>
      </c>
      <c r="O266" s="210" t="str">
        <f t="shared" si="23"/>
        <v/>
      </c>
    </row>
    <row r="267" spans="5:15">
      <c r="E267" s="364"/>
      <c r="K267" s="209" t="str">
        <f t="shared" si="20"/>
        <v/>
      </c>
      <c r="L267" s="209" t="str">
        <f>IF(E267="","",IF(COUNTIFS(Table2[[#All],[De (Lote)]],Input_APM!F267)&gt;0,INDEX(Table2[[#All],[Para (Ticker Daniel)]],MATCH(Input_APM!F267,Table2[[#All],[De (Lote)]],0)),Input_APM!F267))</f>
        <v/>
      </c>
      <c r="M267" s="209" t="str">
        <f t="shared" si="21"/>
        <v/>
      </c>
      <c r="N267" s="210" t="str">
        <f t="shared" si="22"/>
        <v/>
      </c>
      <c r="O267" s="210" t="str">
        <f t="shared" si="23"/>
        <v/>
      </c>
    </row>
    <row r="268" spans="5:15">
      <c r="E268" s="364"/>
      <c r="K268" s="209" t="str">
        <f t="shared" si="20"/>
        <v/>
      </c>
      <c r="L268" s="209" t="str">
        <f>IF(E268="","",IF(COUNTIFS(Table2[[#All],[De (Lote)]],Input_APM!F268)&gt;0,INDEX(Table2[[#All],[Para (Ticker Daniel)]],MATCH(Input_APM!F268,Table2[[#All],[De (Lote)]],0)),Input_APM!F268))</f>
        <v/>
      </c>
      <c r="M268" s="209" t="str">
        <f t="shared" si="21"/>
        <v/>
      </c>
      <c r="N268" s="210" t="str">
        <f t="shared" si="22"/>
        <v/>
      </c>
      <c r="O268" s="210" t="str">
        <f t="shared" si="23"/>
        <v/>
      </c>
    </row>
    <row r="269" spans="5:15">
      <c r="E269" s="364"/>
      <c r="K269" s="209" t="str">
        <f t="shared" si="20"/>
        <v/>
      </c>
      <c r="L269" s="209" t="str">
        <f>IF(E269="","",IF(COUNTIFS(Table2[[#All],[De (Lote)]],Input_APM!F269)&gt;0,INDEX(Table2[[#All],[Para (Ticker Daniel)]],MATCH(Input_APM!F269,Table2[[#All],[De (Lote)]],0)),Input_APM!F269))</f>
        <v/>
      </c>
      <c r="M269" s="209" t="str">
        <f t="shared" si="21"/>
        <v/>
      </c>
      <c r="N269" s="210" t="str">
        <f t="shared" si="22"/>
        <v/>
      </c>
      <c r="O269" s="210" t="str">
        <f t="shared" si="23"/>
        <v/>
      </c>
    </row>
    <row r="270" spans="5:15">
      <c r="E270" s="364"/>
      <c r="K270" s="209" t="str">
        <f t="shared" si="20"/>
        <v/>
      </c>
      <c r="L270" s="209" t="str">
        <f>IF(E270="","",IF(COUNTIFS(Table2[[#All],[De (Lote)]],Input_APM!F270)&gt;0,INDEX(Table2[[#All],[Para (Ticker Daniel)]],MATCH(Input_APM!F270,Table2[[#All],[De (Lote)]],0)),Input_APM!F270))</f>
        <v/>
      </c>
      <c r="M270" s="209" t="str">
        <f t="shared" si="21"/>
        <v/>
      </c>
      <c r="N270" s="210" t="str">
        <f t="shared" si="22"/>
        <v/>
      </c>
      <c r="O270" s="210" t="str">
        <f t="shared" si="23"/>
        <v/>
      </c>
    </row>
    <row r="271" spans="5:15">
      <c r="E271" s="364"/>
      <c r="K271" s="209" t="str">
        <f t="shared" si="20"/>
        <v/>
      </c>
      <c r="L271" s="209" t="str">
        <f>IF(E271="","",IF(COUNTIFS(Table2[[#All],[De (Lote)]],Input_APM!F271)&gt;0,INDEX(Table2[[#All],[Para (Ticker Daniel)]],MATCH(Input_APM!F271,Table2[[#All],[De (Lote)]],0)),Input_APM!F271))</f>
        <v/>
      </c>
      <c r="M271" s="209" t="str">
        <f t="shared" si="21"/>
        <v/>
      </c>
      <c r="N271" s="210" t="str">
        <f t="shared" si="22"/>
        <v/>
      </c>
      <c r="O271" s="210" t="str">
        <f t="shared" si="23"/>
        <v/>
      </c>
    </row>
    <row r="272" spans="5:15">
      <c r="E272" s="364"/>
      <c r="K272" s="209" t="str">
        <f t="shared" si="20"/>
        <v/>
      </c>
      <c r="L272" s="209" t="str">
        <f>IF(E272="","",IF(COUNTIFS(Table2[[#All],[De (Lote)]],Input_APM!F272)&gt;0,INDEX(Table2[[#All],[Para (Ticker Daniel)]],MATCH(Input_APM!F272,Table2[[#All],[De (Lote)]],0)),Input_APM!F272))</f>
        <v/>
      </c>
      <c r="M272" s="209" t="str">
        <f t="shared" si="21"/>
        <v/>
      </c>
      <c r="N272" s="210" t="str">
        <f t="shared" si="22"/>
        <v/>
      </c>
      <c r="O272" s="210" t="str">
        <f t="shared" si="23"/>
        <v/>
      </c>
    </row>
    <row r="273" spans="5:15">
      <c r="E273" s="364"/>
      <c r="K273" s="209" t="str">
        <f t="shared" si="20"/>
        <v/>
      </c>
      <c r="L273" s="209" t="str">
        <f>IF(E273="","",IF(COUNTIFS(Table2[[#All],[De (Lote)]],Input_APM!F273)&gt;0,INDEX(Table2[[#All],[Para (Ticker Daniel)]],MATCH(Input_APM!F273,Table2[[#All],[De (Lote)]],0)),Input_APM!F273))</f>
        <v/>
      </c>
      <c r="M273" s="209" t="str">
        <f t="shared" si="21"/>
        <v/>
      </c>
      <c r="N273" s="210" t="str">
        <f t="shared" si="22"/>
        <v/>
      </c>
      <c r="O273" s="210" t="str">
        <f t="shared" si="23"/>
        <v/>
      </c>
    </row>
    <row r="274" spans="5:15">
      <c r="E274" s="364"/>
      <c r="K274" s="209" t="str">
        <f t="shared" si="20"/>
        <v/>
      </c>
      <c r="L274" s="209" t="str">
        <f>IF(E274="","",IF(COUNTIFS(Table2[[#All],[De (Lote)]],Input_APM!F274)&gt;0,INDEX(Table2[[#All],[Para (Ticker Daniel)]],MATCH(Input_APM!F274,Table2[[#All],[De (Lote)]],0)),Input_APM!F274))</f>
        <v/>
      </c>
      <c r="M274" s="209" t="str">
        <f t="shared" si="21"/>
        <v/>
      </c>
      <c r="N274" s="210" t="str">
        <f t="shared" si="22"/>
        <v/>
      </c>
      <c r="O274" s="210" t="str">
        <f t="shared" si="23"/>
        <v/>
      </c>
    </row>
    <row r="275" spans="5:15">
      <c r="E275" s="364"/>
      <c r="K275" s="209" t="str">
        <f t="shared" si="20"/>
        <v/>
      </c>
      <c r="L275" s="209" t="str">
        <f>IF(E275="","",IF(COUNTIFS(Table2[[#All],[De (Lote)]],Input_APM!F275)&gt;0,INDEX(Table2[[#All],[Para (Ticker Daniel)]],MATCH(Input_APM!F275,Table2[[#All],[De (Lote)]],0)),Input_APM!F275))</f>
        <v/>
      </c>
      <c r="M275" s="209" t="str">
        <f t="shared" si="21"/>
        <v/>
      </c>
      <c r="N275" s="210" t="str">
        <f t="shared" si="22"/>
        <v/>
      </c>
      <c r="O275" s="210" t="str">
        <f t="shared" si="23"/>
        <v/>
      </c>
    </row>
    <row r="276" spans="5:15">
      <c r="E276" s="364"/>
      <c r="K276" s="209" t="str">
        <f t="shared" si="20"/>
        <v/>
      </c>
      <c r="L276" s="209" t="str">
        <f>IF(E276="","",IF(COUNTIFS(Table2[[#All],[De (Lote)]],Input_APM!F276)&gt;0,INDEX(Table2[[#All],[Para (Ticker Daniel)]],MATCH(Input_APM!F276,Table2[[#All],[De (Lote)]],0)),Input_APM!F276))</f>
        <v/>
      </c>
      <c r="M276" s="209" t="str">
        <f t="shared" si="21"/>
        <v/>
      </c>
      <c r="N276" s="210" t="str">
        <f t="shared" si="22"/>
        <v/>
      </c>
      <c r="O276" s="210" t="str">
        <f t="shared" si="23"/>
        <v/>
      </c>
    </row>
    <row r="277" spans="5:15">
      <c r="E277" s="364"/>
      <c r="K277" s="209" t="str">
        <f t="shared" si="20"/>
        <v/>
      </c>
      <c r="L277" s="209" t="str">
        <f>IF(E277="","",IF(COUNTIFS(Table2[[#All],[De (Lote)]],Input_APM!F277)&gt;0,INDEX(Table2[[#All],[Para (Ticker Daniel)]],MATCH(Input_APM!F277,Table2[[#All],[De (Lote)]],0)),Input_APM!F277))</f>
        <v/>
      </c>
      <c r="M277" s="209" t="str">
        <f t="shared" si="21"/>
        <v/>
      </c>
      <c r="N277" s="210" t="str">
        <f t="shared" si="22"/>
        <v/>
      </c>
      <c r="O277" s="210" t="str">
        <f t="shared" si="23"/>
        <v/>
      </c>
    </row>
    <row r="278" spans="5:15">
      <c r="E278" s="364"/>
      <c r="K278" s="209" t="str">
        <f t="shared" si="20"/>
        <v/>
      </c>
      <c r="L278" s="209" t="str">
        <f>IF(E278="","",IF(COUNTIFS(Table2[[#All],[De (Lote)]],Input_APM!F278)&gt;0,INDEX(Table2[[#All],[Para (Ticker Daniel)]],MATCH(Input_APM!F278,Table2[[#All],[De (Lote)]],0)),Input_APM!F278))</f>
        <v/>
      </c>
      <c r="M278" s="209" t="str">
        <f t="shared" si="21"/>
        <v/>
      </c>
      <c r="N278" s="210" t="str">
        <f t="shared" si="22"/>
        <v/>
      </c>
      <c r="O278" s="210" t="str">
        <f t="shared" si="23"/>
        <v/>
      </c>
    </row>
    <row r="279" spans="5:15">
      <c r="E279" s="364"/>
      <c r="K279" s="209" t="str">
        <f t="shared" si="20"/>
        <v/>
      </c>
      <c r="L279" s="209" t="str">
        <f>IF(E279="","",IF(COUNTIFS(Table2[[#All],[De (Lote)]],Input_APM!F279)&gt;0,INDEX(Table2[[#All],[Para (Ticker Daniel)]],MATCH(Input_APM!F279,Table2[[#All],[De (Lote)]],0)),Input_APM!F279))</f>
        <v/>
      </c>
      <c r="M279" s="209" t="str">
        <f t="shared" si="21"/>
        <v/>
      </c>
      <c r="N279" s="210" t="str">
        <f t="shared" si="22"/>
        <v/>
      </c>
      <c r="O279" s="210" t="str">
        <f t="shared" si="23"/>
        <v/>
      </c>
    </row>
    <row r="280" spans="5:15">
      <c r="E280" s="364"/>
      <c r="K280" s="209" t="str">
        <f t="shared" si="20"/>
        <v/>
      </c>
      <c r="L280" s="209" t="str">
        <f>IF(E280="","",IF(COUNTIFS(Table2[[#All],[De (Lote)]],Input_APM!F280)&gt;0,INDEX(Table2[[#All],[Para (Ticker Daniel)]],MATCH(Input_APM!F280,Table2[[#All],[De (Lote)]],0)),Input_APM!F280))</f>
        <v/>
      </c>
      <c r="M280" s="209" t="str">
        <f t="shared" si="21"/>
        <v/>
      </c>
      <c r="N280" s="210" t="str">
        <f t="shared" si="22"/>
        <v/>
      </c>
      <c r="O280" s="210" t="str">
        <f t="shared" si="23"/>
        <v/>
      </c>
    </row>
    <row r="281" spans="5:15">
      <c r="E281" s="364"/>
      <c r="K281" s="209" t="str">
        <f t="shared" si="20"/>
        <v/>
      </c>
      <c r="L281" s="209" t="str">
        <f>IF(E281="","",IF(COUNTIFS(Table2[[#All],[De (Lote)]],Input_APM!F281)&gt;0,INDEX(Table2[[#All],[Para (Ticker Daniel)]],MATCH(Input_APM!F281,Table2[[#All],[De (Lote)]],0)),Input_APM!F281))</f>
        <v/>
      </c>
      <c r="M281" s="209" t="str">
        <f t="shared" si="21"/>
        <v/>
      </c>
      <c r="N281" s="210" t="str">
        <f t="shared" si="22"/>
        <v/>
      </c>
      <c r="O281" s="210" t="str">
        <f t="shared" si="23"/>
        <v/>
      </c>
    </row>
    <row r="282" spans="5:15">
      <c r="E282" s="364"/>
      <c r="K282" s="209" t="str">
        <f t="shared" si="20"/>
        <v/>
      </c>
      <c r="L282" s="209" t="str">
        <f>IF(E282="","",IF(COUNTIFS(Table2[[#All],[De (Lote)]],Input_APM!F282)&gt;0,INDEX(Table2[[#All],[Para (Ticker Daniel)]],MATCH(Input_APM!F282,Table2[[#All],[De (Lote)]],0)),Input_APM!F282))</f>
        <v/>
      </c>
      <c r="M282" s="209" t="str">
        <f t="shared" si="21"/>
        <v/>
      </c>
      <c r="N282" s="210" t="str">
        <f t="shared" si="22"/>
        <v/>
      </c>
      <c r="O282" s="210" t="str">
        <f t="shared" si="23"/>
        <v/>
      </c>
    </row>
    <row r="283" spans="5:15">
      <c r="E283" s="364"/>
      <c r="K283" s="209" t="str">
        <f t="shared" si="20"/>
        <v/>
      </c>
      <c r="L283" s="209" t="str">
        <f>IF(E283="","",IF(COUNTIFS(Table2[[#All],[De (Lote)]],Input_APM!F283)&gt;0,INDEX(Table2[[#All],[Para (Ticker Daniel)]],MATCH(Input_APM!F283,Table2[[#All],[De (Lote)]],0)),Input_APM!F283))</f>
        <v/>
      </c>
      <c r="M283" s="209" t="str">
        <f t="shared" si="21"/>
        <v/>
      </c>
      <c r="N283" s="210" t="str">
        <f t="shared" si="22"/>
        <v/>
      </c>
      <c r="O283" s="210" t="str">
        <f t="shared" si="23"/>
        <v/>
      </c>
    </row>
    <row r="284" spans="5:15">
      <c r="E284" s="364"/>
      <c r="K284" s="209" t="str">
        <f t="shared" si="20"/>
        <v/>
      </c>
      <c r="L284" s="209" t="str">
        <f>IF(E284="","",IF(COUNTIFS(Table2[[#All],[De (Lote)]],Input_APM!F284)&gt;0,INDEX(Table2[[#All],[Para (Ticker Daniel)]],MATCH(Input_APM!F284,Table2[[#All],[De (Lote)]],0)),Input_APM!F284))</f>
        <v/>
      </c>
      <c r="M284" s="209" t="str">
        <f t="shared" si="21"/>
        <v/>
      </c>
      <c r="N284" s="210" t="str">
        <f t="shared" si="22"/>
        <v/>
      </c>
      <c r="O284" s="210" t="str">
        <f t="shared" si="23"/>
        <v/>
      </c>
    </row>
    <row r="285" spans="5:15">
      <c r="E285" s="364"/>
      <c r="K285" s="209" t="str">
        <f t="shared" si="20"/>
        <v/>
      </c>
      <c r="L285" s="209" t="str">
        <f>IF(E285="","",IF(COUNTIFS(Table2[[#All],[De (Lote)]],Input_APM!F285)&gt;0,INDEX(Table2[[#All],[Para (Ticker Daniel)]],MATCH(Input_APM!F285,Table2[[#All],[De (Lote)]],0)),Input_APM!F285))</f>
        <v/>
      </c>
      <c r="M285" s="209" t="str">
        <f t="shared" si="21"/>
        <v/>
      </c>
      <c r="N285" s="210" t="str">
        <f t="shared" si="22"/>
        <v/>
      </c>
      <c r="O285" s="210" t="str">
        <f t="shared" si="23"/>
        <v/>
      </c>
    </row>
    <row r="286" spans="5:15">
      <c r="E286" s="364"/>
      <c r="K286" s="209" t="str">
        <f t="shared" si="20"/>
        <v/>
      </c>
      <c r="L286" s="209" t="str">
        <f>IF(E286="","",IF(COUNTIFS(Table2[[#All],[De (Lote)]],Input_APM!F286)&gt;0,INDEX(Table2[[#All],[Para (Ticker Daniel)]],MATCH(Input_APM!F286,Table2[[#All],[De (Lote)]],0)),Input_APM!F286))</f>
        <v/>
      </c>
      <c r="M286" s="209" t="str">
        <f t="shared" si="21"/>
        <v/>
      </c>
      <c r="N286" s="210" t="str">
        <f t="shared" si="22"/>
        <v/>
      </c>
      <c r="O286" s="210" t="str">
        <f t="shared" si="23"/>
        <v/>
      </c>
    </row>
    <row r="287" spans="5:15">
      <c r="E287" s="364"/>
      <c r="K287" s="209" t="str">
        <f t="shared" si="20"/>
        <v/>
      </c>
      <c r="L287" s="209" t="str">
        <f>IF(E287="","",IF(COUNTIFS(Table2[[#All],[De (Lote)]],Input_APM!F287)&gt;0,INDEX(Table2[[#All],[Para (Ticker Daniel)]],MATCH(Input_APM!F287,Table2[[#All],[De (Lote)]],0)),Input_APM!F287))</f>
        <v/>
      </c>
      <c r="M287" s="209" t="str">
        <f t="shared" si="21"/>
        <v/>
      </c>
      <c r="N287" s="210" t="str">
        <f t="shared" si="22"/>
        <v/>
      </c>
      <c r="O287" s="210" t="str">
        <f t="shared" si="23"/>
        <v/>
      </c>
    </row>
    <row r="288" spans="5:15">
      <c r="E288" s="364"/>
      <c r="K288" s="209" t="str">
        <f t="shared" si="20"/>
        <v/>
      </c>
      <c r="L288" s="209" t="str">
        <f>IF(E288="","",IF(COUNTIFS(Table2[[#All],[De (Lote)]],Input_APM!F288)&gt;0,INDEX(Table2[[#All],[Para (Ticker Daniel)]],MATCH(Input_APM!F288,Table2[[#All],[De (Lote)]],0)),Input_APM!F288))</f>
        <v/>
      </c>
      <c r="M288" s="209" t="str">
        <f t="shared" si="21"/>
        <v/>
      </c>
      <c r="N288" s="210" t="str">
        <f t="shared" si="22"/>
        <v/>
      </c>
      <c r="O288" s="210" t="str">
        <f t="shared" si="23"/>
        <v/>
      </c>
    </row>
    <row r="289" spans="5:15">
      <c r="E289" s="364"/>
      <c r="K289" s="209" t="str">
        <f t="shared" si="20"/>
        <v/>
      </c>
      <c r="L289" s="209" t="str">
        <f>IF(E289="","",IF(COUNTIFS(Table2[[#All],[De (Lote)]],Input_APM!F289)&gt;0,INDEX(Table2[[#All],[Para (Ticker Daniel)]],MATCH(Input_APM!F289,Table2[[#All],[De (Lote)]],0)),Input_APM!F289))</f>
        <v/>
      </c>
      <c r="M289" s="209" t="str">
        <f t="shared" si="21"/>
        <v/>
      </c>
      <c r="N289" s="210" t="str">
        <f t="shared" si="22"/>
        <v/>
      </c>
      <c r="O289" s="210" t="str">
        <f t="shared" si="23"/>
        <v/>
      </c>
    </row>
    <row r="290" spans="5:15">
      <c r="E290" s="364"/>
      <c r="K290" s="209" t="str">
        <f t="shared" si="20"/>
        <v/>
      </c>
      <c r="L290" s="209" t="str">
        <f>IF(E290="","",IF(COUNTIFS(Table2[[#All],[De (Lote)]],Input_APM!F290)&gt;0,INDEX(Table2[[#All],[Para (Ticker Daniel)]],MATCH(Input_APM!F290,Table2[[#All],[De (Lote)]],0)),Input_APM!F290))</f>
        <v/>
      </c>
      <c r="M290" s="209" t="str">
        <f t="shared" si="21"/>
        <v/>
      </c>
      <c r="N290" s="210" t="str">
        <f t="shared" si="22"/>
        <v/>
      </c>
      <c r="O290" s="210" t="str">
        <f t="shared" si="23"/>
        <v/>
      </c>
    </row>
    <row r="291" spans="5:15">
      <c r="E291" s="364"/>
      <c r="K291" s="209" t="str">
        <f t="shared" si="20"/>
        <v/>
      </c>
      <c r="L291" s="209" t="str">
        <f>IF(E291="","",IF(COUNTIFS(Table2[[#All],[De (Lote)]],Input_APM!F291)&gt;0,INDEX(Table2[[#All],[Para (Ticker Daniel)]],MATCH(Input_APM!F291,Table2[[#All],[De (Lote)]],0)),Input_APM!F291))</f>
        <v/>
      </c>
      <c r="M291" s="209" t="str">
        <f t="shared" si="21"/>
        <v/>
      </c>
      <c r="N291" s="210" t="str">
        <f t="shared" si="22"/>
        <v/>
      </c>
      <c r="O291" s="210" t="str">
        <f t="shared" si="23"/>
        <v/>
      </c>
    </row>
    <row r="292" spans="5:15">
      <c r="E292" s="364"/>
      <c r="K292" s="209" t="str">
        <f t="shared" si="20"/>
        <v/>
      </c>
      <c r="L292" s="209" t="str">
        <f>IF(E292="","",IF(COUNTIFS(Table2[[#All],[De (Lote)]],Input_APM!F292)&gt;0,INDEX(Table2[[#All],[Para (Ticker Daniel)]],MATCH(Input_APM!F292,Table2[[#All],[De (Lote)]],0)),Input_APM!F292))</f>
        <v/>
      </c>
      <c r="M292" s="209" t="str">
        <f t="shared" si="21"/>
        <v/>
      </c>
      <c r="N292" s="210" t="str">
        <f t="shared" si="22"/>
        <v/>
      </c>
      <c r="O292" s="210" t="str">
        <f t="shared" si="23"/>
        <v/>
      </c>
    </row>
    <row r="293" spans="5:15">
      <c r="E293" s="364"/>
      <c r="K293" s="209" t="str">
        <f t="shared" si="20"/>
        <v/>
      </c>
      <c r="L293" s="209" t="str">
        <f>IF(E293="","",IF(COUNTIFS(Table2[[#All],[De (Lote)]],Input_APM!F293)&gt;0,INDEX(Table2[[#All],[Para (Ticker Daniel)]],MATCH(Input_APM!F293,Table2[[#All],[De (Lote)]],0)),Input_APM!F293))</f>
        <v/>
      </c>
      <c r="M293" s="209" t="str">
        <f t="shared" si="21"/>
        <v/>
      </c>
      <c r="N293" s="210" t="str">
        <f t="shared" si="22"/>
        <v/>
      </c>
      <c r="O293" s="210" t="str">
        <f t="shared" si="23"/>
        <v/>
      </c>
    </row>
    <row r="294" spans="5:15">
      <c r="E294" s="364"/>
      <c r="K294" s="209" t="str">
        <f t="shared" si="20"/>
        <v/>
      </c>
      <c r="L294" s="209" t="str">
        <f>IF(E294="","",IF(COUNTIFS(Table2[[#All],[De (Lote)]],Input_APM!F294)&gt;0,INDEX(Table2[[#All],[Para (Ticker Daniel)]],MATCH(Input_APM!F294,Table2[[#All],[De (Lote)]],0)),Input_APM!F294))</f>
        <v/>
      </c>
      <c r="M294" s="209" t="str">
        <f t="shared" si="21"/>
        <v/>
      </c>
      <c r="N294" s="210" t="str">
        <f t="shared" si="22"/>
        <v/>
      </c>
      <c r="O294" s="210" t="str">
        <f t="shared" si="23"/>
        <v/>
      </c>
    </row>
    <row r="295" spans="5:15">
      <c r="E295" s="364"/>
      <c r="K295" s="209" t="str">
        <f t="shared" si="20"/>
        <v/>
      </c>
      <c r="L295" s="209" t="str">
        <f>IF(E295="","",IF(COUNTIFS(Table2[[#All],[De (Lote)]],Input_APM!F295)&gt;0,INDEX(Table2[[#All],[Para (Ticker Daniel)]],MATCH(Input_APM!F295,Table2[[#All],[De (Lote)]],0)),Input_APM!F295))</f>
        <v/>
      </c>
      <c r="M295" s="209" t="str">
        <f t="shared" si="21"/>
        <v/>
      </c>
      <c r="N295" s="210" t="str">
        <f t="shared" si="22"/>
        <v/>
      </c>
      <c r="O295" s="210" t="str">
        <f t="shared" si="23"/>
        <v/>
      </c>
    </row>
    <row r="296" spans="5:15">
      <c r="E296" s="364"/>
      <c r="K296" s="209" t="str">
        <f t="shared" si="20"/>
        <v/>
      </c>
      <c r="L296" s="209" t="str">
        <f>IF(E296="","",IF(COUNTIFS(Table2[[#All],[De (Lote)]],Input_APM!F296)&gt;0,INDEX(Table2[[#All],[Para (Ticker Daniel)]],MATCH(Input_APM!F296,Table2[[#All],[De (Lote)]],0)),Input_APM!F296))</f>
        <v/>
      </c>
      <c r="M296" s="209" t="str">
        <f t="shared" si="21"/>
        <v/>
      </c>
      <c r="N296" s="210" t="str">
        <f t="shared" si="22"/>
        <v/>
      </c>
      <c r="O296" s="210" t="str">
        <f t="shared" si="23"/>
        <v/>
      </c>
    </row>
    <row r="297" spans="5:15">
      <c r="E297" s="364"/>
      <c r="K297" s="209" t="str">
        <f t="shared" si="20"/>
        <v/>
      </c>
      <c r="L297" s="209" t="str">
        <f>IF(E297="","",IF(COUNTIFS(Table2[[#All],[De (Lote)]],Input_APM!F297)&gt;0,INDEX(Table2[[#All],[Para (Ticker Daniel)]],MATCH(Input_APM!F297,Table2[[#All],[De (Lote)]],0)),Input_APM!F297))</f>
        <v/>
      </c>
      <c r="M297" s="209" t="str">
        <f t="shared" si="21"/>
        <v/>
      </c>
      <c r="N297" s="210" t="str">
        <f t="shared" si="22"/>
        <v/>
      </c>
      <c r="O297" s="210" t="str">
        <f t="shared" si="23"/>
        <v/>
      </c>
    </row>
    <row r="298" spans="5:15">
      <c r="E298" s="364"/>
      <c r="K298" s="209" t="str">
        <f t="shared" si="20"/>
        <v/>
      </c>
      <c r="L298" s="209" t="str">
        <f>IF(E298="","",IF(COUNTIFS(Table2[[#All],[De (Lote)]],Input_APM!F298)&gt;0,INDEX(Table2[[#All],[Para (Ticker Daniel)]],MATCH(Input_APM!F298,Table2[[#All],[De (Lote)]],0)),Input_APM!F298))</f>
        <v/>
      </c>
      <c r="M298" s="209" t="str">
        <f t="shared" si="21"/>
        <v/>
      </c>
      <c r="N298" s="210" t="str">
        <f t="shared" si="22"/>
        <v/>
      </c>
      <c r="O298" s="210" t="str">
        <f t="shared" si="23"/>
        <v/>
      </c>
    </row>
    <row r="299" spans="5:15">
      <c r="E299" s="364"/>
      <c r="K299" s="209" t="str">
        <f t="shared" si="20"/>
        <v/>
      </c>
      <c r="L299" s="209" t="str">
        <f>IF(E299="","",IF(COUNTIFS(Table2[[#All],[De (Lote)]],Input_APM!F299)&gt;0,INDEX(Table2[[#All],[Para (Ticker Daniel)]],MATCH(Input_APM!F299,Table2[[#All],[De (Lote)]],0)),Input_APM!F299))</f>
        <v/>
      </c>
      <c r="M299" s="209" t="str">
        <f t="shared" si="21"/>
        <v/>
      </c>
      <c r="N299" s="210" t="str">
        <f t="shared" si="22"/>
        <v/>
      </c>
      <c r="O299" s="210" t="str">
        <f t="shared" si="23"/>
        <v/>
      </c>
    </row>
    <row r="300" spans="5:15">
      <c r="E300" s="364"/>
      <c r="K300" s="209" t="str">
        <f t="shared" si="20"/>
        <v/>
      </c>
      <c r="L300" s="209" t="str">
        <f>IF(E300="","",IF(COUNTIFS(Table2[[#All],[De (Lote)]],Input_APM!F300)&gt;0,INDEX(Table2[[#All],[Para (Ticker Daniel)]],MATCH(Input_APM!F300,Table2[[#All],[De (Lote)]],0)),Input_APM!F300))</f>
        <v/>
      </c>
      <c r="M300" s="209" t="str">
        <f t="shared" si="21"/>
        <v/>
      </c>
      <c r="N300" s="210" t="str">
        <f t="shared" si="22"/>
        <v/>
      </c>
      <c r="O300" s="210" t="str">
        <f t="shared" si="23"/>
        <v/>
      </c>
    </row>
    <row r="301" spans="5:15">
      <c r="E301" s="364"/>
      <c r="K301" s="209" t="str">
        <f t="shared" si="20"/>
        <v/>
      </c>
      <c r="L301" s="209" t="str">
        <f>IF(E301="","",IF(COUNTIFS(Table2[[#All],[De (Lote)]],Input_APM!F301)&gt;0,INDEX(Table2[[#All],[Para (Ticker Daniel)]],MATCH(Input_APM!F301,Table2[[#All],[De (Lote)]],0)),Input_APM!F301))</f>
        <v/>
      </c>
      <c r="M301" s="209" t="str">
        <f t="shared" si="21"/>
        <v/>
      </c>
      <c r="N301" s="210" t="str">
        <f t="shared" si="22"/>
        <v/>
      </c>
      <c r="O301" s="210" t="str">
        <f t="shared" si="23"/>
        <v/>
      </c>
    </row>
    <row r="302" spans="5:15">
      <c r="E302" s="364"/>
      <c r="K302" s="209" t="str">
        <f t="shared" si="20"/>
        <v/>
      </c>
      <c r="L302" s="209" t="str">
        <f>IF(E302="","",IF(COUNTIFS(Table2[[#All],[De (Lote)]],Input_APM!F302)&gt;0,INDEX(Table2[[#All],[Para (Ticker Daniel)]],MATCH(Input_APM!F302,Table2[[#All],[De (Lote)]],0)),Input_APM!F302))</f>
        <v/>
      </c>
      <c r="M302" s="209" t="str">
        <f t="shared" si="21"/>
        <v/>
      </c>
      <c r="N302" s="210" t="str">
        <f t="shared" si="22"/>
        <v/>
      </c>
      <c r="O302" s="210" t="str">
        <f t="shared" si="23"/>
        <v/>
      </c>
    </row>
    <row r="303" spans="5:15">
      <c r="E303" s="364"/>
      <c r="K303" s="209" t="str">
        <f t="shared" si="20"/>
        <v/>
      </c>
      <c r="L303" s="209" t="str">
        <f>IF(E303="","",IF(COUNTIFS(Table2[[#All],[De (Lote)]],Input_APM!F303)&gt;0,INDEX(Table2[[#All],[Para (Ticker Daniel)]],MATCH(Input_APM!F303,Table2[[#All],[De (Lote)]],0)),Input_APM!F303))</f>
        <v/>
      </c>
      <c r="M303" s="209" t="str">
        <f t="shared" si="21"/>
        <v/>
      </c>
      <c r="N303" s="210" t="str">
        <f t="shared" si="22"/>
        <v/>
      </c>
      <c r="O303" s="210" t="str">
        <f t="shared" si="23"/>
        <v/>
      </c>
    </row>
    <row r="304" spans="5:15">
      <c r="E304" s="364"/>
      <c r="K304" s="209" t="str">
        <f t="shared" ref="K304:K355" si="24">IF(E304="","",E304)</f>
        <v/>
      </c>
      <c r="L304" s="209" t="str">
        <f>IF(E304="","",IF(COUNTIFS(Table2[[#All],[De (Lote)]],Input_APM!F304)&gt;0,INDEX(Table2[[#All],[Para (Ticker Daniel)]],MATCH(Input_APM!F304,Table2[[#All],[De (Lote)]],0)),Input_APM!F304))</f>
        <v/>
      </c>
      <c r="M304" s="209" t="str">
        <f t="shared" ref="M304:M355" si="25">IF(E304="","",G304)</f>
        <v/>
      </c>
      <c r="N304" s="210" t="str">
        <f t="shared" ref="N304:N355" si="26">IF(E304="","",H304)</f>
        <v/>
      </c>
      <c r="O304" s="210" t="str">
        <f t="shared" ref="O304:O355" si="27">IF(E304="","",I304)</f>
        <v/>
      </c>
    </row>
    <row r="305" spans="5:15">
      <c r="E305" s="364"/>
      <c r="K305" s="209" t="str">
        <f t="shared" si="24"/>
        <v/>
      </c>
      <c r="L305" s="209" t="str">
        <f>IF(E305="","",IF(COUNTIFS(Table2[[#All],[De (Lote)]],Input_APM!F305)&gt;0,INDEX(Table2[[#All],[Para (Ticker Daniel)]],MATCH(Input_APM!F305,Table2[[#All],[De (Lote)]],0)),Input_APM!F305))</f>
        <v/>
      </c>
      <c r="M305" s="209" t="str">
        <f t="shared" si="25"/>
        <v/>
      </c>
      <c r="N305" s="210" t="str">
        <f t="shared" si="26"/>
        <v/>
      </c>
      <c r="O305" s="210" t="str">
        <f t="shared" si="27"/>
        <v/>
      </c>
    </row>
    <row r="306" spans="5:15">
      <c r="E306" s="364"/>
      <c r="K306" s="209" t="str">
        <f t="shared" si="24"/>
        <v/>
      </c>
      <c r="L306" s="209" t="str">
        <f>IF(E306="","",IF(COUNTIFS(Table2[[#All],[De (Lote)]],Input_APM!F306)&gt;0,INDEX(Table2[[#All],[Para (Ticker Daniel)]],MATCH(Input_APM!F306,Table2[[#All],[De (Lote)]],0)),Input_APM!F306))</f>
        <v/>
      </c>
      <c r="M306" s="209" t="str">
        <f t="shared" si="25"/>
        <v/>
      </c>
      <c r="N306" s="210" t="str">
        <f t="shared" si="26"/>
        <v/>
      </c>
      <c r="O306" s="210" t="str">
        <f t="shared" si="27"/>
        <v/>
      </c>
    </row>
    <row r="307" spans="5:15">
      <c r="E307" s="364"/>
      <c r="K307" s="209" t="str">
        <f t="shared" si="24"/>
        <v/>
      </c>
      <c r="L307" s="209" t="str">
        <f>IF(E307="","",IF(COUNTIFS(Table2[[#All],[De (Lote)]],Input_APM!F307)&gt;0,INDEX(Table2[[#All],[Para (Ticker Daniel)]],MATCH(Input_APM!F307,Table2[[#All],[De (Lote)]],0)),Input_APM!F307))</f>
        <v/>
      </c>
      <c r="M307" s="209" t="str">
        <f t="shared" si="25"/>
        <v/>
      </c>
      <c r="N307" s="210" t="str">
        <f t="shared" si="26"/>
        <v/>
      </c>
      <c r="O307" s="210" t="str">
        <f t="shared" si="27"/>
        <v/>
      </c>
    </row>
    <row r="308" spans="5:15">
      <c r="E308" s="364"/>
      <c r="K308" s="209" t="str">
        <f t="shared" si="24"/>
        <v/>
      </c>
      <c r="L308" s="209" t="str">
        <f>IF(E308="","",IF(COUNTIFS(Table2[[#All],[De (Lote)]],Input_APM!F308)&gt;0,INDEX(Table2[[#All],[Para (Ticker Daniel)]],MATCH(Input_APM!F308,Table2[[#All],[De (Lote)]],0)),Input_APM!F308))</f>
        <v/>
      </c>
      <c r="M308" s="209" t="str">
        <f t="shared" si="25"/>
        <v/>
      </c>
      <c r="N308" s="210" t="str">
        <f t="shared" si="26"/>
        <v/>
      </c>
      <c r="O308" s="210" t="str">
        <f t="shared" si="27"/>
        <v/>
      </c>
    </row>
    <row r="309" spans="5:15">
      <c r="E309" s="364"/>
      <c r="K309" s="209" t="str">
        <f t="shared" si="24"/>
        <v/>
      </c>
      <c r="L309" s="209" t="str">
        <f>IF(E309="","",IF(COUNTIFS(Table2[[#All],[De (Lote)]],Input_APM!F309)&gt;0,INDEX(Table2[[#All],[Para (Ticker Daniel)]],MATCH(Input_APM!F309,Table2[[#All],[De (Lote)]],0)),Input_APM!F309))</f>
        <v/>
      </c>
      <c r="M309" s="209" t="str">
        <f t="shared" si="25"/>
        <v/>
      </c>
      <c r="N309" s="210" t="str">
        <f t="shared" si="26"/>
        <v/>
      </c>
      <c r="O309" s="210" t="str">
        <f t="shared" si="27"/>
        <v/>
      </c>
    </row>
    <row r="310" spans="5:15">
      <c r="E310" s="364"/>
      <c r="K310" s="209" t="str">
        <f t="shared" si="24"/>
        <v/>
      </c>
      <c r="L310" s="209" t="str">
        <f>IF(E310="","",IF(COUNTIFS(Table2[[#All],[De (Lote)]],Input_APM!F310)&gt;0,INDEX(Table2[[#All],[Para (Ticker Daniel)]],MATCH(Input_APM!F310,Table2[[#All],[De (Lote)]],0)),Input_APM!F310))</f>
        <v/>
      </c>
      <c r="M310" s="209" t="str">
        <f t="shared" si="25"/>
        <v/>
      </c>
      <c r="N310" s="210" t="str">
        <f t="shared" si="26"/>
        <v/>
      </c>
      <c r="O310" s="210" t="str">
        <f t="shared" si="27"/>
        <v/>
      </c>
    </row>
    <row r="311" spans="5:15">
      <c r="E311" s="364"/>
      <c r="K311" s="209" t="str">
        <f t="shared" si="24"/>
        <v/>
      </c>
      <c r="L311" s="209" t="str">
        <f>IF(E311="","",IF(COUNTIFS(Table2[[#All],[De (Lote)]],Input_APM!F311)&gt;0,INDEX(Table2[[#All],[Para (Ticker Daniel)]],MATCH(Input_APM!F311,Table2[[#All],[De (Lote)]],0)),Input_APM!F311))</f>
        <v/>
      </c>
      <c r="M311" s="209" t="str">
        <f t="shared" si="25"/>
        <v/>
      </c>
      <c r="N311" s="210" t="str">
        <f t="shared" si="26"/>
        <v/>
      </c>
      <c r="O311" s="210" t="str">
        <f t="shared" si="27"/>
        <v/>
      </c>
    </row>
    <row r="312" spans="5:15">
      <c r="E312" s="364"/>
      <c r="K312" s="209" t="str">
        <f t="shared" si="24"/>
        <v/>
      </c>
      <c r="L312" s="209" t="str">
        <f>IF(E312="","",IF(COUNTIFS(Table2[[#All],[De (Lote)]],Input_APM!F312)&gt;0,INDEX(Table2[[#All],[Para (Ticker Daniel)]],MATCH(Input_APM!F312,Table2[[#All],[De (Lote)]],0)),Input_APM!F312))</f>
        <v/>
      </c>
      <c r="M312" s="209" t="str">
        <f t="shared" si="25"/>
        <v/>
      </c>
      <c r="N312" s="210" t="str">
        <f t="shared" si="26"/>
        <v/>
      </c>
      <c r="O312" s="210" t="str">
        <f t="shared" si="27"/>
        <v/>
      </c>
    </row>
    <row r="313" spans="5:15">
      <c r="E313" s="364"/>
      <c r="K313" s="209" t="str">
        <f t="shared" si="24"/>
        <v/>
      </c>
      <c r="L313" s="209" t="str">
        <f>IF(E313="","",IF(COUNTIFS(Table2[[#All],[De (Lote)]],Input_APM!F313)&gt;0,INDEX(Table2[[#All],[Para (Ticker Daniel)]],MATCH(Input_APM!F313,Table2[[#All],[De (Lote)]],0)),Input_APM!F313))</f>
        <v/>
      </c>
      <c r="M313" s="209" t="str">
        <f t="shared" si="25"/>
        <v/>
      </c>
      <c r="N313" s="210" t="str">
        <f t="shared" si="26"/>
        <v/>
      </c>
      <c r="O313" s="210" t="str">
        <f t="shared" si="27"/>
        <v/>
      </c>
    </row>
    <row r="314" spans="5:15">
      <c r="E314" s="364"/>
      <c r="K314" s="209" t="str">
        <f t="shared" si="24"/>
        <v/>
      </c>
      <c r="L314" s="209" t="str">
        <f>IF(E314="","",IF(COUNTIFS(Table2[[#All],[De (Lote)]],Input_APM!F314)&gt;0,INDEX(Table2[[#All],[Para (Ticker Daniel)]],MATCH(Input_APM!F314,Table2[[#All],[De (Lote)]],0)),Input_APM!F314))</f>
        <v/>
      </c>
      <c r="M314" s="209" t="str">
        <f t="shared" si="25"/>
        <v/>
      </c>
      <c r="N314" s="210" t="str">
        <f t="shared" si="26"/>
        <v/>
      </c>
      <c r="O314" s="210" t="str">
        <f t="shared" si="27"/>
        <v/>
      </c>
    </row>
    <row r="315" spans="5:15">
      <c r="E315" s="364"/>
      <c r="K315" s="209" t="str">
        <f t="shared" si="24"/>
        <v/>
      </c>
      <c r="L315" s="209" t="str">
        <f>IF(E315="","",IF(COUNTIFS(Table2[[#All],[De (Lote)]],Input_APM!F315)&gt;0,INDEX(Table2[[#All],[Para (Ticker Daniel)]],MATCH(Input_APM!F315,Table2[[#All],[De (Lote)]],0)),Input_APM!F315))</f>
        <v/>
      </c>
      <c r="M315" s="209" t="str">
        <f t="shared" si="25"/>
        <v/>
      </c>
      <c r="N315" s="210" t="str">
        <f t="shared" si="26"/>
        <v/>
      </c>
      <c r="O315" s="210" t="str">
        <f t="shared" si="27"/>
        <v/>
      </c>
    </row>
    <row r="316" spans="5:15">
      <c r="E316" s="364"/>
      <c r="K316" s="209" t="str">
        <f t="shared" si="24"/>
        <v/>
      </c>
      <c r="L316" s="209" t="str">
        <f>IF(E316="","",IF(COUNTIFS(Table2[[#All],[De (Lote)]],Input_APM!F316)&gt;0,INDEX(Table2[[#All],[Para (Ticker Daniel)]],MATCH(Input_APM!F316,Table2[[#All],[De (Lote)]],0)),Input_APM!F316))</f>
        <v/>
      </c>
      <c r="M316" s="209" t="str">
        <f t="shared" si="25"/>
        <v/>
      </c>
      <c r="N316" s="210" t="str">
        <f t="shared" si="26"/>
        <v/>
      </c>
      <c r="O316" s="210" t="str">
        <f t="shared" si="27"/>
        <v/>
      </c>
    </row>
    <row r="317" spans="5:15">
      <c r="E317" s="364"/>
      <c r="K317" s="209" t="str">
        <f t="shared" si="24"/>
        <v/>
      </c>
      <c r="L317" s="209" t="str">
        <f>IF(E317="","",IF(COUNTIFS(Table2[[#All],[De (Lote)]],Input_APM!F317)&gt;0,INDEX(Table2[[#All],[Para (Ticker Daniel)]],MATCH(Input_APM!F317,Table2[[#All],[De (Lote)]],0)),Input_APM!F317))</f>
        <v/>
      </c>
      <c r="M317" s="209" t="str">
        <f t="shared" si="25"/>
        <v/>
      </c>
      <c r="N317" s="210" t="str">
        <f t="shared" si="26"/>
        <v/>
      </c>
      <c r="O317" s="210" t="str">
        <f t="shared" si="27"/>
        <v/>
      </c>
    </row>
    <row r="318" spans="5:15">
      <c r="E318" s="364"/>
      <c r="K318" s="209" t="str">
        <f t="shared" si="24"/>
        <v/>
      </c>
      <c r="L318" s="209" t="str">
        <f>IF(E318="","",IF(COUNTIFS(Table2[[#All],[De (Lote)]],Input_APM!F318)&gt;0,INDEX(Table2[[#All],[Para (Ticker Daniel)]],MATCH(Input_APM!F318,Table2[[#All],[De (Lote)]],0)),Input_APM!F318))</f>
        <v/>
      </c>
      <c r="M318" s="209" t="str">
        <f t="shared" si="25"/>
        <v/>
      </c>
      <c r="N318" s="210" t="str">
        <f t="shared" si="26"/>
        <v/>
      </c>
      <c r="O318" s="210" t="str">
        <f t="shared" si="27"/>
        <v/>
      </c>
    </row>
    <row r="319" spans="5:15">
      <c r="E319" s="364"/>
      <c r="K319" s="209" t="str">
        <f t="shared" si="24"/>
        <v/>
      </c>
      <c r="L319" s="209" t="str">
        <f>IF(E319="","",IF(COUNTIFS(Table2[[#All],[De (Lote)]],Input_APM!F319)&gt;0,INDEX(Table2[[#All],[Para (Ticker Daniel)]],MATCH(Input_APM!F319,Table2[[#All],[De (Lote)]],0)),Input_APM!F319))</f>
        <v/>
      </c>
      <c r="M319" s="209" t="str">
        <f t="shared" si="25"/>
        <v/>
      </c>
      <c r="N319" s="210" t="str">
        <f t="shared" si="26"/>
        <v/>
      </c>
      <c r="O319" s="210" t="str">
        <f t="shared" si="27"/>
        <v/>
      </c>
    </row>
    <row r="320" spans="5:15">
      <c r="E320" s="364"/>
      <c r="K320" s="209" t="str">
        <f t="shared" si="24"/>
        <v/>
      </c>
      <c r="L320" s="209" t="str">
        <f>IF(E320="","",IF(COUNTIFS(Table2[[#All],[De (Lote)]],Input_APM!F320)&gt;0,INDEX(Table2[[#All],[Para (Ticker Daniel)]],MATCH(Input_APM!F320,Table2[[#All],[De (Lote)]],0)),Input_APM!F320))</f>
        <v/>
      </c>
      <c r="M320" s="209" t="str">
        <f t="shared" si="25"/>
        <v/>
      </c>
      <c r="N320" s="210" t="str">
        <f t="shared" si="26"/>
        <v/>
      </c>
      <c r="O320" s="210" t="str">
        <f t="shared" si="27"/>
        <v/>
      </c>
    </row>
    <row r="321" spans="5:15">
      <c r="E321" s="364"/>
      <c r="K321" s="209" t="str">
        <f t="shared" si="24"/>
        <v/>
      </c>
      <c r="L321" s="209" t="str">
        <f>IF(E321="","",IF(COUNTIFS(Table2[[#All],[De (Lote)]],Input_APM!F321)&gt;0,INDEX(Table2[[#All],[Para (Ticker Daniel)]],MATCH(Input_APM!F321,Table2[[#All],[De (Lote)]],0)),Input_APM!F321))</f>
        <v/>
      </c>
      <c r="M321" s="209" t="str">
        <f t="shared" si="25"/>
        <v/>
      </c>
      <c r="N321" s="210" t="str">
        <f t="shared" si="26"/>
        <v/>
      </c>
      <c r="O321" s="210" t="str">
        <f t="shared" si="27"/>
        <v/>
      </c>
    </row>
    <row r="322" spans="5:15">
      <c r="E322" s="364"/>
      <c r="K322" s="209" t="str">
        <f t="shared" si="24"/>
        <v/>
      </c>
      <c r="L322" s="209" t="str">
        <f>IF(E322="","",IF(COUNTIFS(Table2[[#All],[De (Lote)]],Input_APM!F322)&gt;0,INDEX(Table2[[#All],[Para (Ticker Daniel)]],MATCH(Input_APM!F322,Table2[[#All],[De (Lote)]],0)),Input_APM!F322))</f>
        <v/>
      </c>
      <c r="M322" s="209" t="str">
        <f t="shared" si="25"/>
        <v/>
      </c>
      <c r="N322" s="210" t="str">
        <f t="shared" si="26"/>
        <v/>
      </c>
      <c r="O322" s="210" t="str">
        <f t="shared" si="27"/>
        <v/>
      </c>
    </row>
    <row r="323" spans="5:15">
      <c r="E323" s="364"/>
      <c r="K323" s="209" t="str">
        <f t="shared" si="24"/>
        <v/>
      </c>
      <c r="L323" s="209" t="str">
        <f>IF(E323="","",IF(COUNTIFS(Table2[[#All],[De (Lote)]],Input_APM!F323)&gt;0,INDEX(Table2[[#All],[Para (Ticker Daniel)]],MATCH(Input_APM!F323,Table2[[#All],[De (Lote)]],0)),Input_APM!F323))</f>
        <v/>
      </c>
      <c r="M323" s="209" t="str">
        <f t="shared" si="25"/>
        <v/>
      </c>
      <c r="N323" s="210" t="str">
        <f t="shared" si="26"/>
        <v/>
      </c>
      <c r="O323" s="210" t="str">
        <f t="shared" si="27"/>
        <v/>
      </c>
    </row>
    <row r="324" spans="5:15">
      <c r="E324" s="364"/>
      <c r="K324" s="209" t="str">
        <f t="shared" si="24"/>
        <v/>
      </c>
      <c r="L324" s="209" t="str">
        <f>IF(E324="","",IF(COUNTIFS(Table2[[#All],[De (Lote)]],Input_APM!F324)&gt;0,INDEX(Table2[[#All],[Para (Ticker Daniel)]],MATCH(Input_APM!F324,Table2[[#All],[De (Lote)]],0)),Input_APM!F324))</f>
        <v/>
      </c>
      <c r="M324" s="209" t="str">
        <f t="shared" si="25"/>
        <v/>
      </c>
      <c r="N324" s="210" t="str">
        <f t="shared" si="26"/>
        <v/>
      </c>
      <c r="O324" s="210" t="str">
        <f t="shared" si="27"/>
        <v/>
      </c>
    </row>
    <row r="325" spans="5:15">
      <c r="E325" s="364"/>
      <c r="K325" s="209" t="str">
        <f t="shared" si="24"/>
        <v/>
      </c>
      <c r="L325" s="209" t="str">
        <f>IF(E325="","",IF(COUNTIFS(Table2[[#All],[De (Lote)]],Input_APM!F325)&gt;0,INDEX(Table2[[#All],[Para (Ticker Daniel)]],MATCH(Input_APM!F325,Table2[[#All],[De (Lote)]],0)),Input_APM!F325))</f>
        <v/>
      </c>
      <c r="M325" s="209" t="str">
        <f t="shared" si="25"/>
        <v/>
      </c>
      <c r="N325" s="210" t="str">
        <f t="shared" si="26"/>
        <v/>
      </c>
      <c r="O325" s="210" t="str">
        <f t="shared" si="27"/>
        <v/>
      </c>
    </row>
    <row r="326" spans="5:15">
      <c r="E326" s="364"/>
      <c r="K326" s="209" t="str">
        <f t="shared" si="24"/>
        <v/>
      </c>
      <c r="L326" s="209" t="str">
        <f>IF(E326="","",IF(COUNTIFS(Table2[[#All],[De (Lote)]],Input_APM!F326)&gt;0,INDEX(Table2[[#All],[Para (Ticker Daniel)]],MATCH(Input_APM!F326,Table2[[#All],[De (Lote)]],0)),Input_APM!F326))</f>
        <v/>
      </c>
      <c r="M326" s="209" t="str">
        <f t="shared" si="25"/>
        <v/>
      </c>
      <c r="N326" s="210" t="str">
        <f t="shared" si="26"/>
        <v/>
      </c>
      <c r="O326" s="210" t="str">
        <f t="shared" si="27"/>
        <v/>
      </c>
    </row>
    <row r="327" spans="5:15">
      <c r="E327" s="364"/>
      <c r="K327" s="209" t="str">
        <f t="shared" si="24"/>
        <v/>
      </c>
      <c r="L327" s="209" t="str">
        <f>IF(E327="","",IF(COUNTIFS(Table2[[#All],[De (Lote)]],Input_APM!F327)&gt;0,INDEX(Table2[[#All],[Para (Ticker Daniel)]],MATCH(Input_APM!F327,Table2[[#All],[De (Lote)]],0)),Input_APM!F327))</f>
        <v/>
      </c>
      <c r="M327" s="209" t="str">
        <f t="shared" si="25"/>
        <v/>
      </c>
      <c r="N327" s="210" t="str">
        <f t="shared" si="26"/>
        <v/>
      </c>
      <c r="O327" s="210" t="str">
        <f t="shared" si="27"/>
        <v/>
      </c>
    </row>
    <row r="328" spans="5:15">
      <c r="E328" s="364"/>
      <c r="K328" s="209" t="str">
        <f t="shared" si="24"/>
        <v/>
      </c>
      <c r="L328" s="209" t="str">
        <f>IF(E328="","",IF(COUNTIFS(Table2[[#All],[De (Lote)]],Input_APM!F328)&gt;0,INDEX(Table2[[#All],[Para (Ticker Daniel)]],MATCH(Input_APM!F328,Table2[[#All],[De (Lote)]],0)),Input_APM!F328))</f>
        <v/>
      </c>
      <c r="M328" s="209" t="str">
        <f t="shared" si="25"/>
        <v/>
      </c>
      <c r="N328" s="210" t="str">
        <f t="shared" si="26"/>
        <v/>
      </c>
      <c r="O328" s="210" t="str">
        <f t="shared" si="27"/>
        <v/>
      </c>
    </row>
    <row r="329" spans="5:15">
      <c r="E329" s="364"/>
      <c r="K329" s="209" t="str">
        <f t="shared" si="24"/>
        <v/>
      </c>
      <c r="L329" s="209" t="str">
        <f>IF(E329="","",IF(COUNTIFS(Table2[[#All],[De (Lote)]],Input_APM!F329)&gt;0,INDEX(Table2[[#All],[Para (Ticker Daniel)]],MATCH(Input_APM!F329,Table2[[#All],[De (Lote)]],0)),Input_APM!F329))</f>
        <v/>
      </c>
      <c r="M329" s="209" t="str">
        <f t="shared" si="25"/>
        <v/>
      </c>
      <c r="N329" s="210" t="str">
        <f t="shared" si="26"/>
        <v/>
      </c>
      <c r="O329" s="210" t="str">
        <f t="shared" si="27"/>
        <v/>
      </c>
    </row>
    <row r="330" spans="5:15">
      <c r="E330" s="364"/>
      <c r="K330" s="209" t="str">
        <f t="shared" si="24"/>
        <v/>
      </c>
      <c r="L330" s="209" t="str">
        <f>IF(E330="","",IF(COUNTIFS(Table2[[#All],[De (Lote)]],Input_APM!F330)&gt;0,INDEX(Table2[[#All],[Para (Ticker Daniel)]],MATCH(Input_APM!F330,Table2[[#All],[De (Lote)]],0)),Input_APM!F330))</f>
        <v/>
      </c>
      <c r="M330" s="209" t="str">
        <f t="shared" si="25"/>
        <v/>
      </c>
      <c r="N330" s="210" t="str">
        <f t="shared" si="26"/>
        <v/>
      </c>
      <c r="O330" s="210" t="str">
        <f t="shared" si="27"/>
        <v/>
      </c>
    </row>
    <row r="331" spans="5:15">
      <c r="E331" s="364"/>
      <c r="K331" s="209" t="str">
        <f t="shared" si="24"/>
        <v/>
      </c>
      <c r="L331" s="209" t="str">
        <f>IF(E331="","",IF(COUNTIFS(Table2[[#All],[De (Lote)]],Input_APM!F331)&gt;0,INDEX(Table2[[#All],[Para (Ticker Daniel)]],MATCH(Input_APM!F331,Table2[[#All],[De (Lote)]],0)),Input_APM!F331))</f>
        <v/>
      </c>
      <c r="M331" s="209" t="str">
        <f t="shared" si="25"/>
        <v/>
      </c>
      <c r="N331" s="210" t="str">
        <f t="shared" si="26"/>
        <v/>
      </c>
      <c r="O331" s="210" t="str">
        <f t="shared" si="27"/>
        <v/>
      </c>
    </row>
    <row r="332" spans="5:15">
      <c r="E332" s="364"/>
      <c r="K332" s="209" t="str">
        <f t="shared" si="24"/>
        <v/>
      </c>
      <c r="L332" s="209" t="str">
        <f>IF(E332="","",IF(COUNTIFS(Table2[[#All],[De (Lote)]],Input_APM!F332)&gt;0,INDEX(Table2[[#All],[Para (Ticker Daniel)]],MATCH(Input_APM!F332,Table2[[#All],[De (Lote)]],0)),Input_APM!F332))</f>
        <v/>
      </c>
      <c r="M332" s="209" t="str">
        <f t="shared" si="25"/>
        <v/>
      </c>
      <c r="N332" s="210" t="str">
        <f t="shared" si="26"/>
        <v/>
      </c>
      <c r="O332" s="210" t="str">
        <f t="shared" si="27"/>
        <v/>
      </c>
    </row>
    <row r="333" spans="5:15">
      <c r="E333" s="364"/>
      <c r="K333" s="209" t="str">
        <f t="shared" si="24"/>
        <v/>
      </c>
      <c r="L333" s="209" t="str">
        <f>IF(E333="","",IF(COUNTIFS(Table2[[#All],[De (Lote)]],Input_APM!F333)&gt;0,INDEX(Table2[[#All],[Para (Ticker Daniel)]],MATCH(Input_APM!F333,Table2[[#All],[De (Lote)]],0)),Input_APM!F333))</f>
        <v/>
      </c>
      <c r="M333" s="209" t="str">
        <f t="shared" si="25"/>
        <v/>
      </c>
      <c r="N333" s="210" t="str">
        <f t="shared" si="26"/>
        <v/>
      </c>
      <c r="O333" s="210" t="str">
        <f t="shared" si="27"/>
        <v/>
      </c>
    </row>
    <row r="334" spans="5:15">
      <c r="E334" s="364"/>
      <c r="K334" s="209" t="str">
        <f t="shared" si="24"/>
        <v/>
      </c>
      <c r="L334" s="209" t="str">
        <f>IF(E334="","",IF(COUNTIFS(Table2[[#All],[De (Lote)]],Input_APM!F334)&gt;0,INDEX(Table2[[#All],[Para (Ticker Daniel)]],MATCH(Input_APM!F334,Table2[[#All],[De (Lote)]],0)),Input_APM!F334))</f>
        <v/>
      </c>
      <c r="M334" s="209" t="str">
        <f t="shared" si="25"/>
        <v/>
      </c>
      <c r="N334" s="210" t="str">
        <f t="shared" si="26"/>
        <v/>
      </c>
      <c r="O334" s="210" t="str">
        <f t="shared" si="27"/>
        <v/>
      </c>
    </row>
    <row r="335" spans="5:15">
      <c r="E335" s="364"/>
      <c r="K335" s="209" t="str">
        <f t="shared" si="24"/>
        <v/>
      </c>
      <c r="L335" s="209" t="str">
        <f>IF(E335="","",IF(COUNTIFS(Table2[[#All],[De (Lote)]],Input_APM!F335)&gt;0,INDEX(Table2[[#All],[Para (Ticker Daniel)]],MATCH(Input_APM!F335,Table2[[#All],[De (Lote)]],0)),Input_APM!F335))</f>
        <v/>
      </c>
      <c r="M335" s="209" t="str">
        <f t="shared" si="25"/>
        <v/>
      </c>
      <c r="N335" s="210" t="str">
        <f t="shared" si="26"/>
        <v/>
      </c>
      <c r="O335" s="210" t="str">
        <f t="shared" si="27"/>
        <v/>
      </c>
    </row>
    <row r="336" spans="5:15">
      <c r="E336" s="364"/>
      <c r="K336" s="209" t="str">
        <f t="shared" si="24"/>
        <v/>
      </c>
      <c r="L336" s="209" t="str">
        <f>IF(E336="","",IF(COUNTIFS(Table2[[#All],[De (Lote)]],Input_APM!F336)&gt;0,INDEX(Table2[[#All],[Para (Ticker Daniel)]],MATCH(Input_APM!F336,Table2[[#All],[De (Lote)]],0)),Input_APM!F336))</f>
        <v/>
      </c>
      <c r="M336" s="209" t="str">
        <f t="shared" si="25"/>
        <v/>
      </c>
      <c r="N336" s="210" t="str">
        <f t="shared" si="26"/>
        <v/>
      </c>
      <c r="O336" s="210" t="str">
        <f t="shared" si="27"/>
        <v/>
      </c>
    </row>
    <row r="337" spans="5:15">
      <c r="E337" s="364"/>
      <c r="K337" s="209" t="str">
        <f t="shared" si="24"/>
        <v/>
      </c>
      <c r="L337" s="209" t="str">
        <f>IF(E337="","",IF(COUNTIFS(Table2[[#All],[De (Lote)]],Input_APM!F337)&gt;0,INDEX(Table2[[#All],[Para (Ticker Daniel)]],MATCH(Input_APM!F337,Table2[[#All],[De (Lote)]],0)),Input_APM!F337))</f>
        <v/>
      </c>
      <c r="M337" s="209" t="str">
        <f t="shared" si="25"/>
        <v/>
      </c>
      <c r="N337" s="210" t="str">
        <f t="shared" si="26"/>
        <v/>
      </c>
      <c r="O337" s="210" t="str">
        <f t="shared" si="27"/>
        <v/>
      </c>
    </row>
    <row r="338" spans="5:15">
      <c r="E338" s="364"/>
      <c r="K338" s="209" t="str">
        <f t="shared" si="24"/>
        <v/>
      </c>
      <c r="L338" s="209" t="str">
        <f>IF(E338="","",IF(COUNTIFS(Table2[[#All],[De (Lote)]],Input_APM!F338)&gt;0,INDEX(Table2[[#All],[Para (Ticker Daniel)]],MATCH(Input_APM!F338,Table2[[#All],[De (Lote)]],0)),Input_APM!F338))</f>
        <v/>
      </c>
      <c r="M338" s="209" t="str">
        <f t="shared" si="25"/>
        <v/>
      </c>
      <c r="N338" s="210" t="str">
        <f t="shared" si="26"/>
        <v/>
      </c>
      <c r="O338" s="210" t="str">
        <f t="shared" si="27"/>
        <v/>
      </c>
    </row>
    <row r="339" spans="5:15">
      <c r="E339" s="364"/>
      <c r="K339" s="209" t="str">
        <f t="shared" si="24"/>
        <v/>
      </c>
      <c r="L339" s="209" t="str">
        <f>IF(E339="","",IF(COUNTIFS(Table2[[#All],[De (Lote)]],Input_APM!F339)&gt;0,INDEX(Table2[[#All],[Para (Ticker Daniel)]],MATCH(Input_APM!F339,Table2[[#All],[De (Lote)]],0)),Input_APM!F339))</f>
        <v/>
      </c>
      <c r="M339" s="209" t="str">
        <f t="shared" si="25"/>
        <v/>
      </c>
      <c r="N339" s="210" t="str">
        <f t="shared" si="26"/>
        <v/>
      </c>
      <c r="O339" s="210" t="str">
        <f t="shared" si="27"/>
        <v/>
      </c>
    </row>
    <row r="340" spans="5:15">
      <c r="E340" s="364"/>
      <c r="K340" s="209" t="str">
        <f t="shared" si="24"/>
        <v/>
      </c>
      <c r="L340" s="209" t="str">
        <f>IF(E340="","",IF(COUNTIFS(Table2[[#All],[De (Lote)]],Input_APM!F340)&gt;0,INDEX(Table2[[#All],[Para (Ticker Daniel)]],MATCH(Input_APM!F340,Table2[[#All],[De (Lote)]],0)),Input_APM!F340))</f>
        <v/>
      </c>
      <c r="M340" s="209" t="str">
        <f t="shared" si="25"/>
        <v/>
      </c>
      <c r="N340" s="210" t="str">
        <f t="shared" si="26"/>
        <v/>
      </c>
      <c r="O340" s="210" t="str">
        <f t="shared" si="27"/>
        <v/>
      </c>
    </row>
    <row r="341" spans="5:15">
      <c r="E341" s="364"/>
      <c r="K341" s="209" t="str">
        <f t="shared" si="24"/>
        <v/>
      </c>
      <c r="L341" s="209" t="str">
        <f>IF(E341="","",IF(COUNTIFS(Table2[[#All],[De (Lote)]],Input_APM!F341)&gt;0,INDEX(Table2[[#All],[Para (Ticker Daniel)]],MATCH(Input_APM!F341,Table2[[#All],[De (Lote)]],0)),Input_APM!F341))</f>
        <v/>
      </c>
      <c r="M341" s="209" t="str">
        <f t="shared" si="25"/>
        <v/>
      </c>
      <c r="N341" s="210" t="str">
        <f t="shared" si="26"/>
        <v/>
      </c>
      <c r="O341" s="210" t="str">
        <f t="shared" si="27"/>
        <v/>
      </c>
    </row>
    <row r="342" spans="5:15">
      <c r="E342" s="364"/>
      <c r="K342" s="209" t="str">
        <f t="shared" si="24"/>
        <v/>
      </c>
      <c r="L342" s="209" t="str">
        <f>IF(E342="","",IF(COUNTIFS(Table2[[#All],[De (Lote)]],Input_APM!F342)&gt;0,INDEX(Table2[[#All],[Para (Ticker Daniel)]],MATCH(Input_APM!F342,Table2[[#All],[De (Lote)]],0)),Input_APM!F342))</f>
        <v/>
      </c>
      <c r="M342" s="209" t="str">
        <f t="shared" si="25"/>
        <v/>
      </c>
      <c r="N342" s="210" t="str">
        <f t="shared" si="26"/>
        <v/>
      </c>
      <c r="O342" s="210" t="str">
        <f t="shared" si="27"/>
        <v/>
      </c>
    </row>
    <row r="343" spans="5:15">
      <c r="E343" s="364"/>
      <c r="K343" s="209" t="str">
        <f t="shared" si="24"/>
        <v/>
      </c>
      <c r="L343" s="209" t="str">
        <f>IF(E343="","",IF(COUNTIFS(Table2[[#All],[De (Lote)]],Input_APM!F343)&gt;0,INDEX(Table2[[#All],[Para (Ticker Daniel)]],MATCH(Input_APM!F343,Table2[[#All],[De (Lote)]],0)),Input_APM!F343))</f>
        <v/>
      </c>
      <c r="M343" s="209" t="str">
        <f t="shared" si="25"/>
        <v/>
      </c>
      <c r="N343" s="210" t="str">
        <f t="shared" si="26"/>
        <v/>
      </c>
      <c r="O343" s="210" t="str">
        <f t="shared" si="27"/>
        <v/>
      </c>
    </row>
    <row r="344" spans="5:15">
      <c r="E344" s="364"/>
      <c r="K344" s="209" t="str">
        <f t="shared" si="24"/>
        <v/>
      </c>
      <c r="L344" s="209" t="str">
        <f>IF(E344="","",IF(COUNTIFS(Table2[[#All],[De (Lote)]],Input_APM!F344)&gt;0,INDEX(Table2[[#All],[Para (Ticker Daniel)]],MATCH(Input_APM!F344,Table2[[#All],[De (Lote)]],0)),Input_APM!F344))</f>
        <v/>
      </c>
      <c r="M344" s="209" t="str">
        <f t="shared" si="25"/>
        <v/>
      </c>
      <c r="N344" s="210" t="str">
        <f t="shared" si="26"/>
        <v/>
      </c>
      <c r="O344" s="210" t="str">
        <f t="shared" si="27"/>
        <v/>
      </c>
    </row>
    <row r="345" spans="5:15">
      <c r="E345" s="364"/>
      <c r="K345" s="209" t="str">
        <f t="shared" si="24"/>
        <v/>
      </c>
      <c r="L345" s="209" t="str">
        <f>IF(E345="","",IF(COUNTIFS(Table2[[#All],[De (Lote)]],Input_APM!F345)&gt;0,INDEX(Table2[[#All],[Para (Ticker Daniel)]],MATCH(Input_APM!F345,Table2[[#All],[De (Lote)]],0)),Input_APM!F345))</f>
        <v/>
      </c>
      <c r="M345" s="209" t="str">
        <f t="shared" si="25"/>
        <v/>
      </c>
      <c r="N345" s="210" t="str">
        <f t="shared" si="26"/>
        <v/>
      </c>
      <c r="O345" s="210" t="str">
        <f t="shared" si="27"/>
        <v/>
      </c>
    </row>
    <row r="346" spans="5:15">
      <c r="E346" s="364"/>
      <c r="K346" s="209" t="str">
        <f t="shared" si="24"/>
        <v/>
      </c>
      <c r="L346" s="209" t="str">
        <f>IF(E346="","",IF(COUNTIFS(Table2[[#All],[De (Lote)]],Input_APM!F346)&gt;0,INDEX(Table2[[#All],[Para (Ticker Daniel)]],MATCH(Input_APM!F346,Table2[[#All],[De (Lote)]],0)),Input_APM!F346))</f>
        <v/>
      </c>
      <c r="M346" s="209" t="str">
        <f t="shared" si="25"/>
        <v/>
      </c>
      <c r="N346" s="210" t="str">
        <f t="shared" si="26"/>
        <v/>
      </c>
      <c r="O346" s="210" t="str">
        <f t="shared" si="27"/>
        <v/>
      </c>
    </row>
    <row r="347" spans="5:15">
      <c r="E347" s="364"/>
      <c r="K347" s="209" t="str">
        <f t="shared" si="24"/>
        <v/>
      </c>
      <c r="L347" s="209" t="str">
        <f>IF(E347="","",IF(COUNTIFS(Table2[[#All],[De (Lote)]],Input_APM!F347)&gt;0,INDEX(Table2[[#All],[Para (Ticker Daniel)]],MATCH(Input_APM!F347,Table2[[#All],[De (Lote)]],0)),Input_APM!F347))</f>
        <v/>
      </c>
      <c r="M347" s="209" t="str">
        <f t="shared" si="25"/>
        <v/>
      </c>
      <c r="N347" s="210" t="str">
        <f t="shared" si="26"/>
        <v/>
      </c>
      <c r="O347" s="210" t="str">
        <f t="shared" si="27"/>
        <v/>
      </c>
    </row>
    <row r="348" spans="5:15">
      <c r="E348" s="364"/>
      <c r="K348" s="209" t="str">
        <f t="shared" si="24"/>
        <v/>
      </c>
      <c r="L348" s="209" t="str">
        <f>IF(E348="","",IF(COUNTIFS(Table2[[#All],[De (Lote)]],Input_APM!F348)&gt;0,INDEX(Table2[[#All],[Para (Ticker Daniel)]],MATCH(Input_APM!F348,Table2[[#All],[De (Lote)]],0)),Input_APM!F348))</f>
        <v/>
      </c>
      <c r="M348" s="209" t="str">
        <f t="shared" si="25"/>
        <v/>
      </c>
      <c r="N348" s="210" t="str">
        <f t="shared" si="26"/>
        <v/>
      </c>
      <c r="O348" s="210" t="str">
        <f t="shared" si="27"/>
        <v/>
      </c>
    </row>
    <row r="349" spans="5:15">
      <c r="E349" s="364"/>
      <c r="K349" s="209" t="str">
        <f t="shared" si="24"/>
        <v/>
      </c>
      <c r="L349" s="209" t="str">
        <f>IF(E349="","",IF(COUNTIFS(Table2[[#All],[De (Lote)]],Input_APM!F349)&gt;0,INDEX(Table2[[#All],[Para (Ticker Daniel)]],MATCH(Input_APM!F349,Table2[[#All],[De (Lote)]],0)),Input_APM!F349))</f>
        <v/>
      </c>
      <c r="M349" s="209" t="str">
        <f t="shared" si="25"/>
        <v/>
      </c>
      <c r="N349" s="210" t="str">
        <f t="shared" si="26"/>
        <v/>
      </c>
      <c r="O349" s="210" t="str">
        <f t="shared" si="27"/>
        <v/>
      </c>
    </row>
    <row r="350" spans="5:15">
      <c r="E350" s="364"/>
      <c r="K350" s="209" t="str">
        <f t="shared" si="24"/>
        <v/>
      </c>
      <c r="L350" s="209" t="str">
        <f>IF(E350="","",IF(COUNTIFS(Table2[[#All],[De (Lote)]],Input_APM!F350)&gt;0,INDEX(Table2[[#All],[Para (Ticker Daniel)]],MATCH(Input_APM!F350,Table2[[#All],[De (Lote)]],0)),Input_APM!F350))</f>
        <v/>
      </c>
      <c r="M350" s="209" t="str">
        <f t="shared" si="25"/>
        <v/>
      </c>
      <c r="N350" s="210" t="str">
        <f t="shared" si="26"/>
        <v/>
      </c>
      <c r="O350" s="210" t="str">
        <f t="shared" si="27"/>
        <v/>
      </c>
    </row>
    <row r="351" spans="5:15">
      <c r="E351" s="364"/>
      <c r="K351" s="209" t="str">
        <f t="shared" si="24"/>
        <v/>
      </c>
      <c r="L351" s="209" t="str">
        <f>IF(E351="","",IF(COUNTIFS(Table2[[#All],[De (Lote)]],Input_APM!F351)&gt;0,INDEX(Table2[[#All],[Para (Ticker Daniel)]],MATCH(Input_APM!F351,Table2[[#All],[De (Lote)]],0)),Input_APM!F351))</f>
        <v/>
      </c>
      <c r="M351" s="209" t="str">
        <f t="shared" si="25"/>
        <v/>
      </c>
      <c r="N351" s="210" t="str">
        <f t="shared" si="26"/>
        <v/>
      </c>
      <c r="O351" s="210" t="str">
        <f t="shared" si="27"/>
        <v/>
      </c>
    </row>
    <row r="352" spans="5:15">
      <c r="E352" s="364"/>
      <c r="K352" s="209" t="str">
        <f t="shared" si="24"/>
        <v/>
      </c>
      <c r="L352" s="209" t="str">
        <f>IF(E352="","",IF(COUNTIFS(Table2[[#All],[De (Lote)]],Input_APM!F352)&gt;0,INDEX(Table2[[#All],[Para (Ticker Daniel)]],MATCH(Input_APM!F352,Table2[[#All],[De (Lote)]],0)),Input_APM!F352))</f>
        <v/>
      </c>
      <c r="M352" s="209" t="str">
        <f t="shared" si="25"/>
        <v/>
      </c>
      <c r="N352" s="210" t="str">
        <f t="shared" si="26"/>
        <v/>
      </c>
      <c r="O352" s="210" t="str">
        <f t="shared" si="27"/>
        <v/>
      </c>
    </row>
    <row r="353" spans="5:15">
      <c r="E353" s="364"/>
      <c r="K353" s="209" t="str">
        <f t="shared" si="24"/>
        <v/>
      </c>
      <c r="L353" s="209" t="str">
        <f>IF(E353="","",IF(COUNTIFS(Table2[[#All],[De (Lote)]],Input_APM!F353)&gt;0,INDEX(Table2[[#All],[Para (Ticker Daniel)]],MATCH(Input_APM!F353,Table2[[#All],[De (Lote)]],0)),Input_APM!F353))</f>
        <v/>
      </c>
      <c r="M353" s="209" t="str">
        <f t="shared" si="25"/>
        <v/>
      </c>
      <c r="N353" s="210" t="str">
        <f t="shared" si="26"/>
        <v/>
      </c>
      <c r="O353" s="210" t="str">
        <f t="shared" si="27"/>
        <v/>
      </c>
    </row>
    <row r="354" spans="5:15">
      <c r="E354" s="364"/>
      <c r="K354" s="209" t="str">
        <f t="shared" si="24"/>
        <v/>
      </c>
      <c r="L354" s="209" t="str">
        <f>IF(E354="","",IF(COUNTIFS(Table2[[#All],[De (Lote)]],Input_APM!F354)&gt;0,INDEX(Table2[[#All],[Para (Ticker Daniel)]],MATCH(Input_APM!F354,Table2[[#All],[De (Lote)]],0)),Input_APM!F354))</f>
        <v/>
      </c>
      <c r="M354" s="209" t="str">
        <f t="shared" si="25"/>
        <v/>
      </c>
      <c r="N354" s="210" t="str">
        <f t="shared" si="26"/>
        <v/>
      </c>
      <c r="O354" s="210" t="str">
        <f t="shared" si="27"/>
        <v/>
      </c>
    </row>
    <row r="355" spans="5:15">
      <c r="E355" s="364"/>
      <c r="K355" s="209" t="str">
        <f t="shared" si="24"/>
        <v/>
      </c>
      <c r="L355" s="209" t="str">
        <f>IF(E355="","",IF(COUNTIFS(Table2[[#All],[De (Lote)]],Input_APM!F355)&gt;0,INDEX(Table2[[#All],[Para (Ticker Daniel)]],MATCH(Input_APM!F355,Table2[[#All],[De (Lote)]],0)),Input_APM!F355))</f>
        <v/>
      </c>
      <c r="M355" s="209" t="str">
        <f t="shared" si="25"/>
        <v/>
      </c>
      <c r="N355" s="210" t="str">
        <f t="shared" si="26"/>
        <v/>
      </c>
      <c r="O355" s="210" t="str">
        <f t="shared" si="27"/>
        <v/>
      </c>
    </row>
    <row r="356" spans="5:15">
      <c r="E356" s="364"/>
      <c r="K356" s="209" t="str">
        <f t="shared" ref="K356:K396" si="28">IF(E356="","",E356)</f>
        <v/>
      </c>
      <c r="L356" s="209" t="str">
        <f>IF(E356="","",IF(COUNTIFS(Table2[[#All],[De (Lote)]],Input_APM!F356)&gt;0,INDEX(Table2[[#All],[Para (Ticker Daniel)]],MATCH(Input_APM!F356,Table2[[#All],[De (Lote)]],0)),Input_APM!F356))</f>
        <v/>
      </c>
      <c r="M356" s="209" t="str">
        <f t="shared" ref="M356:M396" si="29">IF(E356="","",G356)</f>
        <v/>
      </c>
      <c r="N356" s="210" t="str">
        <f t="shared" ref="N356:N396" si="30">IF(E356="","",H356)</f>
        <v/>
      </c>
      <c r="O356" s="210" t="str">
        <f t="shared" ref="O356:O396" si="31">IF(E356="","",I356)</f>
        <v/>
      </c>
    </row>
    <row r="357" spans="5:15">
      <c r="E357" s="364"/>
      <c r="K357" s="209" t="str">
        <f t="shared" si="28"/>
        <v/>
      </c>
      <c r="L357" s="209" t="str">
        <f>IF(E357="","",IF(COUNTIFS(Table2[[#All],[De (Lote)]],Input_APM!F357)&gt;0,INDEX(Table2[[#All],[Para (Ticker Daniel)]],MATCH(Input_APM!F357,Table2[[#All],[De (Lote)]],0)),Input_APM!F357))</f>
        <v/>
      </c>
      <c r="M357" s="209" t="str">
        <f t="shared" si="29"/>
        <v/>
      </c>
      <c r="N357" s="210" t="str">
        <f t="shared" si="30"/>
        <v/>
      </c>
      <c r="O357" s="210" t="str">
        <f t="shared" si="31"/>
        <v/>
      </c>
    </row>
    <row r="358" spans="5:15">
      <c r="E358" s="364"/>
      <c r="K358" s="209" t="str">
        <f t="shared" si="28"/>
        <v/>
      </c>
      <c r="L358" s="209" t="str">
        <f>IF(E358="","",IF(COUNTIFS(Table2[[#All],[De (Lote)]],Input_APM!F358)&gt;0,INDEX(Table2[[#All],[Para (Ticker Daniel)]],MATCH(Input_APM!F358,Table2[[#All],[De (Lote)]],0)),Input_APM!F358))</f>
        <v/>
      </c>
      <c r="M358" s="209" t="str">
        <f t="shared" si="29"/>
        <v/>
      </c>
      <c r="N358" s="210" t="str">
        <f t="shared" si="30"/>
        <v/>
      </c>
      <c r="O358" s="210" t="str">
        <f t="shared" si="31"/>
        <v/>
      </c>
    </row>
    <row r="359" spans="5:15">
      <c r="E359" s="364"/>
      <c r="K359" s="209" t="str">
        <f t="shared" si="28"/>
        <v/>
      </c>
      <c r="L359" s="209" t="str">
        <f>IF(E359="","",IF(COUNTIFS(Table2[[#All],[De (Lote)]],Input_APM!F359)&gt;0,INDEX(Table2[[#All],[Para (Ticker Daniel)]],MATCH(Input_APM!F359,Table2[[#All],[De (Lote)]],0)),Input_APM!F359))</f>
        <v/>
      </c>
      <c r="M359" s="209" t="str">
        <f t="shared" si="29"/>
        <v/>
      </c>
      <c r="N359" s="210" t="str">
        <f t="shared" si="30"/>
        <v/>
      </c>
      <c r="O359" s="210" t="str">
        <f t="shared" si="31"/>
        <v/>
      </c>
    </row>
    <row r="360" spans="5:15">
      <c r="E360" s="364"/>
      <c r="K360" s="209" t="str">
        <f t="shared" si="28"/>
        <v/>
      </c>
      <c r="L360" s="209" t="str">
        <f>IF(E360="","",IF(COUNTIFS(Table2[[#All],[De (Lote)]],Input_APM!F360)&gt;0,INDEX(Table2[[#All],[Para (Ticker Daniel)]],MATCH(Input_APM!F360,Table2[[#All],[De (Lote)]],0)),Input_APM!F360))</f>
        <v/>
      </c>
      <c r="M360" s="209" t="str">
        <f t="shared" si="29"/>
        <v/>
      </c>
      <c r="N360" s="210" t="str">
        <f t="shared" si="30"/>
        <v/>
      </c>
      <c r="O360" s="210" t="str">
        <f t="shared" si="31"/>
        <v/>
      </c>
    </row>
    <row r="361" spans="5:15">
      <c r="E361" s="364"/>
      <c r="K361" s="209" t="str">
        <f t="shared" si="28"/>
        <v/>
      </c>
      <c r="L361" s="209" t="str">
        <f>IF(E361="","",IF(COUNTIFS(Table2[[#All],[De (Lote)]],Input_APM!F361)&gt;0,INDEX(Table2[[#All],[Para (Ticker Daniel)]],MATCH(Input_APM!F361,Table2[[#All],[De (Lote)]],0)),Input_APM!F361))</f>
        <v/>
      </c>
      <c r="M361" s="209" t="str">
        <f t="shared" si="29"/>
        <v/>
      </c>
      <c r="N361" s="210" t="str">
        <f t="shared" si="30"/>
        <v/>
      </c>
      <c r="O361" s="210" t="str">
        <f t="shared" si="31"/>
        <v/>
      </c>
    </row>
    <row r="362" spans="5:15">
      <c r="E362" s="364"/>
      <c r="K362" s="209" t="str">
        <f t="shared" si="28"/>
        <v/>
      </c>
      <c r="L362" s="209" t="str">
        <f>IF(E362="","",IF(COUNTIFS(Table2[[#All],[De (Lote)]],Input_APM!F362)&gt;0,INDEX(Table2[[#All],[Para (Ticker Daniel)]],MATCH(Input_APM!F362,Table2[[#All],[De (Lote)]],0)),Input_APM!F362))</f>
        <v/>
      </c>
      <c r="M362" s="209" t="str">
        <f t="shared" si="29"/>
        <v/>
      </c>
      <c r="N362" s="210" t="str">
        <f t="shared" si="30"/>
        <v/>
      </c>
      <c r="O362" s="210" t="str">
        <f t="shared" si="31"/>
        <v/>
      </c>
    </row>
    <row r="363" spans="5:15">
      <c r="E363" s="364"/>
      <c r="K363" s="209" t="str">
        <f t="shared" si="28"/>
        <v/>
      </c>
      <c r="L363" s="209" t="str">
        <f>IF(E363="","",IF(COUNTIFS(Table2[[#All],[De (Lote)]],Input_APM!F363)&gt;0,INDEX(Table2[[#All],[Para (Ticker Daniel)]],MATCH(Input_APM!F363,Table2[[#All],[De (Lote)]],0)),Input_APM!F363))</f>
        <v/>
      </c>
      <c r="M363" s="209" t="str">
        <f t="shared" si="29"/>
        <v/>
      </c>
      <c r="N363" s="210" t="str">
        <f t="shared" si="30"/>
        <v/>
      </c>
      <c r="O363" s="210" t="str">
        <f t="shared" si="31"/>
        <v/>
      </c>
    </row>
    <row r="364" spans="5:15">
      <c r="E364" s="364"/>
      <c r="K364" s="209" t="str">
        <f t="shared" si="28"/>
        <v/>
      </c>
      <c r="L364" s="209" t="str">
        <f>IF(E364="","",IF(COUNTIFS(Table2[[#All],[De (Lote)]],Input_APM!F364)&gt;0,INDEX(Table2[[#All],[Para (Ticker Daniel)]],MATCH(Input_APM!F364,Table2[[#All],[De (Lote)]],0)),Input_APM!F364))</f>
        <v/>
      </c>
      <c r="M364" s="209" t="str">
        <f t="shared" si="29"/>
        <v/>
      </c>
      <c r="N364" s="210" t="str">
        <f t="shared" si="30"/>
        <v/>
      </c>
      <c r="O364" s="210" t="str">
        <f t="shared" si="31"/>
        <v/>
      </c>
    </row>
    <row r="365" spans="5:15">
      <c r="E365" s="364"/>
      <c r="K365" s="209" t="str">
        <f t="shared" si="28"/>
        <v/>
      </c>
      <c r="L365" s="209" t="str">
        <f>IF(E365="","",IF(COUNTIFS(Table2[[#All],[De (Lote)]],Input_APM!F365)&gt;0,INDEX(Table2[[#All],[Para (Ticker Daniel)]],MATCH(Input_APM!F365,Table2[[#All],[De (Lote)]],0)),Input_APM!F365))</f>
        <v/>
      </c>
      <c r="M365" s="209" t="str">
        <f t="shared" si="29"/>
        <v/>
      </c>
      <c r="N365" s="210" t="str">
        <f t="shared" si="30"/>
        <v/>
      </c>
      <c r="O365" s="210" t="str">
        <f t="shared" si="31"/>
        <v/>
      </c>
    </row>
    <row r="366" spans="5:15">
      <c r="E366" s="364"/>
      <c r="K366" s="209" t="str">
        <f t="shared" si="28"/>
        <v/>
      </c>
      <c r="L366" s="209" t="str">
        <f>IF(E366="","",IF(COUNTIFS(Table2[[#All],[De (Lote)]],Input_APM!F366)&gt;0,INDEX(Table2[[#All],[Para (Ticker Daniel)]],MATCH(Input_APM!F366,Table2[[#All],[De (Lote)]],0)),Input_APM!F366))</f>
        <v/>
      </c>
      <c r="M366" s="209" t="str">
        <f t="shared" si="29"/>
        <v/>
      </c>
      <c r="N366" s="210" t="str">
        <f t="shared" si="30"/>
        <v/>
      </c>
      <c r="O366" s="210" t="str">
        <f t="shared" si="31"/>
        <v/>
      </c>
    </row>
    <row r="367" spans="5:15">
      <c r="E367" s="364"/>
      <c r="K367" s="209" t="str">
        <f t="shared" si="28"/>
        <v/>
      </c>
      <c r="L367" s="209" t="str">
        <f>IF(E367="","",IF(COUNTIFS(Table2[[#All],[De (Lote)]],Input_APM!F367)&gt;0,INDEX(Table2[[#All],[Para (Ticker Daniel)]],MATCH(Input_APM!F367,Table2[[#All],[De (Lote)]],0)),Input_APM!F367))</f>
        <v/>
      </c>
      <c r="M367" s="209" t="str">
        <f t="shared" si="29"/>
        <v/>
      </c>
      <c r="N367" s="210" t="str">
        <f t="shared" si="30"/>
        <v/>
      </c>
      <c r="O367" s="210" t="str">
        <f t="shared" si="31"/>
        <v/>
      </c>
    </row>
    <row r="368" spans="5:15">
      <c r="E368" s="364"/>
      <c r="K368" s="209" t="str">
        <f t="shared" si="28"/>
        <v/>
      </c>
      <c r="L368" s="209" t="str">
        <f>IF(E368="","",IF(COUNTIFS(Table2[[#All],[De (Lote)]],Input_APM!F368)&gt;0,INDEX(Table2[[#All],[Para (Ticker Daniel)]],MATCH(Input_APM!F368,Table2[[#All],[De (Lote)]],0)),Input_APM!F368))</f>
        <v/>
      </c>
      <c r="M368" s="209" t="str">
        <f t="shared" si="29"/>
        <v/>
      </c>
      <c r="N368" s="210" t="str">
        <f t="shared" si="30"/>
        <v/>
      </c>
      <c r="O368" s="210" t="str">
        <f t="shared" si="31"/>
        <v/>
      </c>
    </row>
    <row r="369" spans="5:15">
      <c r="E369" s="364"/>
      <c r="K369" s="209" t="str">
        <f t="shared" si="28"/>
        <v/>
      </c>
      <c r="L369" s="209" t="str">
        <f>IF(E369="","",IF(COUNTIFS(Table2[[#All],[De (Lote)]],Input_APM!F369)&gt;0,INDEX(Table2[[#All],[Para (Ticker Daniel)]],MATCH(Input_APM!F369,Table2[[#All],[De (Lote)]],0)),Input_APM!F369))</f>
        <v/>
      </c>
      <c r="M369" s="209" t="str">
        <f t="shared" si="29"/>
        <v/>
      </c>
      <c r="N369" s="210" t="str">
        <f t="shared" si="30"/>
        <v/>
      </c>
      <c r="O369" s="210" t="str">
        <f t="shared" si="31"/>
        <v/>
      </c>
    </row>
    <row r="370" spans="5:15">
      <c r="E370" s="364"/>
      <c r="K370" s="209" t="str">
        <f t="shared" si="28"/>
        <v/>
      </c>
      <c r="L370" s="209" t="str">
        <f>IF(E370="","",IF(COUNTIFS(Table2[[#All],[De (Lote)]],Input_APM!F370)&gt;0,INDEX(Table2[[#All],[Para (Ticker Daniel)]],MATCH(Input_APM!F370,Table2[[#All],[De (Lote)]],0)),Input_APM!F370))</f>
        <v/>
      </c>
      <c r="M370" s="209" t="str">
        <f t="shared" si="29"/>
        <v/>
      </c>
      <c r="N370" s="210" t="str">
        <f t="shared" si="30"/>
        <v/>
      </c>
      <c r="O370" s="210" t="str">
        <f t="shared" si="31"/>
        <v/>
      </c>
    </row>
    <row r="371" spans="5:15">
      <c r="E371" s="364"/>
      <c r="K371" s="209" t="str">
        <f t="shared" si="28"/>
        <v/>
      </c>
      <c r="L371" s="209" t="str">
        <f>IF(E371="","",IF(COUNTIFS(Table2[[#All],[De (Lote)]],Input_APM!F371)&gt;0,INDEX(Table2[[#All],[Para (Ticker Daniel)]],MATCH(Input_APM!F371,Table2[[#All],[De (Lote)]],0)),Input_APM!F371))</f>
        <v/>
      </c>
      <c r="M371" s="209" t="str">
        <f t="shared" si="29"/>
        <v/>
      </c>
      <c r="N371" s="210" t="str">
        <f t="shared" si="30"/>
        <v/>
      </c>
      <c r="O371" s="210" t="str">
        <f t="shared" si="31"/>
        <v/>
      </c>
    </row>
    <row r="372" spans="5:15">
      <c r="E372" s="364"/>
      <c r="K372" s="209" t="str">
        <f t="shared" si="28"/>
        <v/>
      </c>
      <c r="L372" s="209" t="str">
        <f>IF(E372="","",IF(COUNTIFS(Table2[[#All],[De (Lote)]],Input_APM!F372)&gt;0,INDEX(Table2[[#All],[Para (Ticker Daniel)]],MATCH(Input_APM!F372,Table2[[#All],[De (Lote)]],0)),Input_APM!F372))</f>
        <v/>
      </c>
      <c r="M372" s="209" t="str">
        <f t="shared" si="29"/>
        <v/>
      </c>
      <c r="N372" s="210" t="str">
        <f t="shared" si="30"/>
        <v/>
      </c>
      <c r="O372" s="210" t="str">
        <f t="shared" si="31"/>
        <v/>
      </c>
    </row>
    <row r="373" spans="5:15">
      <c r="E373" s="364"/>
      <c r="K373" s="209" t="str">
        <f t="shared" si="28"/>
        <v/>
      </c>
      <c r="L373" s="209" t="str">
        <f>IF(E373="","",IF(COUNTIFS(Table2[[#All],[De (Lote)]],Input_APM!F373)&gt;0,INDEX(Table2[[#All],[Para (Ticker Daniel)]],MATCH(Input_APM!F373,Table2[[#All],[De (Lote)]],0)),Input_APM!F373))</f>
        <v/>
      </c>
      <c r="M373" s="209" t="str">
        <f t="shared" si="29"/>
        <v/>
      </c>
      <c r="N373" s="210" t="str">
        <f t="shared" si="30"/>
        <v/>
      </c>
      <c r="O373" s="210" t="str">
        <f t="shared" si="31"/>
        <v/>
      </c>
    </row>
    <row r="374" spans="5:15">
      <c r="E374" s="364"/>
      <c r="K374" s="209" t="str">
        <f t="shared" si="28"/>
        <v/>
      </c>
      <c r="L374" s="209" t="str">
        <f>IF(E374="","",IF(COUNTIFS(Table2[[#All],[De (Lote)]],Input_APM!F374)&gt;0,INDEX(Table2[[#All],[Para (Ticker Daniel)]],MATCH(Input_APM!F374,Table2[[#All],[De (Lote)]],0)),Input_APM!F374))</f>
        <v/>
      </c>
      <c r="M374" s="209" t="str">
        <f t="shared" si="29"/>
        <v/>
      </c>
      <c r="N374" s="210" t="str">
        <f t="shared" si="30"/>
        <v/>
      </c>
      <c r="O374" s="210" t="str">
        <f t="shared" si="31"/>
        <v/>
      </c>
    </row>
    <row r="375" spans="5:15">
      <c r="E375" s="364"/>
      <c r="K375" s="209" t="str">
        <f t="shared" si="28"/>
        <v/>
      </c>
      <c r="L375" s="209" t="str">
        <f>IF(E375="","",IF(COUNTIFS(Table2[[#All],[De (Lote)]],Input_APM!F375)&gt;0,INDEX(Table2[[#All],[Para (Ticker Daniel)]],MATCH(Input_APM!F375,Table2[[#All],[De (Lote)]],0)),Input_APM!F375))</f>
        <v/>
      </c>
      <c r="M375" s="209" t="str">
        <f t="shared" si="29"/>
        <v/>
      </c>
      <c r="N375" s="210" t="str">
        <f t="shared" si="30"/>
        <v/>
      </c>
      <c r="O375" s="210" t="str">
        <f t="shared" si="31"/>
        <v/>
      </c>
    </row>
    <row r="376" spans="5:15">
      <c r="E376" s="364"/>
      <c r="K376" s="209" t="str">
        <f t="shared" si="28"/>
        <v/>
      </c>
      <c r="L376" s="209" t="str">
        <f>IF(E376="","",IF(COUNTIFS(Table2[[#All],[De (Lote)]],Input_APM!F376)&gt;0,INDEX(Table2[[#All],[Para (Ticker Daniel)]],MATCH(Input_APM!F376,Table2[[#All],[De (Lote)]],0)),Input_APM!F376))</f>
        <v/>
      </c>
      <c r="M376" s="209" t="str">
        <f t="shared" si="29"/>
        <v/>
      </c>
      <c r="N376" s="210" t="str">
        <f t="shared" si="30"/>
        <v/>
      </c>
      <c r="O376" s="210" t="str">
        <f t="shared" si="31"/>
        <v/>
      </c>
    </row>
    <row r="377" spans="5:15">
      <c r="E377" s="364"/>
      <c r="K377" s="209" t="str">
        <f t="shared" si="28"/>
        <v/>
      </c>
      <c r="L377" s="209" t="str">
        <f>IF(E377="","",IF(COUNTIFS(Table2[[#All],[De (Lote)]],Input_APM!F377)&gt;0,INDEX(Table2[[#All],[Para (Ticker Daniel)]],MATCH(Input_APM!F377,Table2[[#All],[De (Lote)]],0)),Input_APM!F377))</f>
        <v/>
      </c>
      <c r="M377" s="209" t="str">
        <f t="shared" si="29"/>
        <v/>
      </c>
      <c r="N377" s="210" t="str">
        <f t="shared" si="30"/>
        <v/>
      </c>
      <c r="O377" s="210" t="str">
        <f t="shared" si="31"/>
        <v/>
      </c>
    </row>
    <row r="378" spans="5:15">
      <c r="E378" s="364"/>
      <c r="K378" s="209" t="str">
        <f t="shared" si="28"/>
        <v/>
      </c>
      <c r="L378" s="209" t="str">
        <f>IF(E378="","",IF(COUNTIFS(Table2[[#All],[De (Lote)]],Input_APM!F378)&gt;0,INDEX(Table2[[#All],[Para (Ticker Daniel)]],MATCH(Input_APM!F378,Table2[[#All],[De (Lote)]],0)),Input_APM!F378))</f>
        <v/>
      </c>
      <c r="M378" s="209" t="str">
        <f t="shared" si="29"/>
        <v/>
      </c>
      <c r="N378" s="210" t="str">
        <f t="shared" si="30"/>
        <v/>
      </c>
      <c r="O378" s="210" t="str">
        <f t="shared" si="31"/>
        <v/>
      </c>
    </row>
    <row r="379" spans="5:15">
      <c r="E379" s="364"/>
      <c r="K379" s="209" t="str">
        <f t="shared" si="28"/>
        <v/>
      </c>
      <c r="L379" s="209" t="str">
        <f>IF(E379="","",IF(COUNTIFS(Table2[[#All],[De (Lote)]],Input_APM!F379)&gt;0,INDEX(Table2[[#All],[Para (Ticker Daniel)]],MATCH(Input_APM!F379,Table2[[#All],[De (Lote)]],0)),Input_APM!F379))</f>
        <v/>
      </c>
      <c r="M379" s="209" t="str">
        <f t="shared" si="29"/>
        <v/>
      </c>
      <c r="N379" s="210" t="str">
        <f t="shared" si="30"/>
        <v/>
      </c>
      <c r="O379" s="210" t="str">
        <f t="shared" si="31"/>
        <v/>
      </c>
    </row>
    <row r="380" spans="5:15">
      <c r="E380" s="364"/>
      <c r="K380" s="209" t="str">
        <f t="shared" si="28"/>
        <v/>
      </c>
      <c r="L380" s="209" t="str">
        <f>IF(E380="","",IF(COUNTIFS(Table2[[#All],[De (Lote)]],Input_APM!F380)&gt;0,INDEX(Table2[[#All],[Para (Ticker Daniel)]],MATCH(Input_APM!F380,Table2[[#All],[De (Lote)]],0)),Input_APM!F380))</f>
        <v/>
      </c>
      <c r="M380" s="209" t="str">
        <f t="shared" si="29"/>
        <v/>
      </c>
      <c r="N380" s="210" t="str">
        <f t="shared" si="30"/>
        <v/>
      </c>
      <c r="O380" s="210" t="str">
        <f t="shared" si="31"/>
        <v/>
      </c>
    </row>
    <row r="381" spans="5:15">
      <c r="E381" s="364"/>
      <c r="K381" s="209" t="str">
        <f t="shared" si="28"/>
        <v/>
      </c>
      <c r="L381" s="209" t="str">
        <f>IF(E381="","",IF(COUNTIFS(Table2[[#All],[De (Lote)]],Input_APM!F381)&gt;0,INDEX(Table2[[#All],[Para (Ticker Daniel)]],MATCH(Input_APM!F381,Table2[[#All],[De (Lote)]],0)),Input_APM!F381))</f>
        <v/>
      </c>
      <c r="M381" s="209" t="str">
        <f t="shared" si="29"/>
        <v/>
      </c>
      <c r="N381" s="210" t="str">
        <f t="shared" si="30"/>
        <v/>
      </c>
      <c r="O381" s="210" t="str">
        <f t="shared" si="31"/>
        <v/>
      </c>
    </row>
    <row r="382" spans="5:15">
      <c r="E382" s="364"/>
      <c r="K382" s="209" t="str">
        <f t="shared" si="28"/>
        <v/>
      </c>
      <c r="L382" s="209" t="str">
        <f>IF(E382="","",IF(COUNTIFS(Table2[[#All],[De (Lote)]],Input_APM!F382)&gt;0,INDEX(Table2[[#All],[Para (Ticker Daniel)]],MATCH(Input_APM!F382,Table2[[#All],[De (Lote)]],0)),Input_APM!F382))</f>
        <v/>
      </c>
      <c r="M382" s="209" t="str">
        <f t="shared" si="29"/>
        <v/>
      </c>
      <c r="N382" s="210" t="str">
        <f t="shared" si="30"/>
        <v/>
      </c>
      <c r="O382" s="210" t="str">
        <f t="shared" si="31"/>
        <v/>
      </c>
    </row>
    <row r="383" spans="5:15">
      <c r="E383" s="364"/>
      <c r="K383" s="209" t="str">
        <f t="shared" si="28"/>
        <v/>
      </c>
      <c r="L383" s="209" t="str">
        <f>IF(E383="","",IF(COUNTIFS(Table2[[#All],[De (Lote)]],Input_APM!F383)&gt;0,INDEX(Table2[[#All],[Para (Ticker Daniel)]],MATCH(Input_APM!F383,Table2[[#All],[De (Lote)]],0)),Input_APM!F383))</f>
        <v/>
      </c>
      <c r="M383" s="209" t="str">
        <f t="shared" si="29"/>
        <v/>
      </c>
      <c r="N383" s="210" t="str">
        <f t="shared" si="30"/>
        <v/>
      </c>
      <c r="O383" s="210" t="str">
        <f t="shared" si="31"/>
        <v/>
      </c>
    </row>
    <row r="384" spans="5:15">
      <c r="E384" s="364"/>
      <c r="K384" s="209" t="str">
        <f t="shared" si="28"/>
        <v/>
      </c>
      <c r="L384" s="209" t="str">
        <f>IF(E384="","",IF(COUNTIFS(Table2[[#All],[De (Lote)]],Input_APM!F384)&gt;0,INDEX(Table2[[#All],[Para (Ticker Daniel)]],MATCH(Input_APM!F384,Table2[[#All],[De (Lote)]],0)),Input_APM!F384))</f>
        <v/>
      </c>
      <c r="M384" s="209" t="str">
        <f t="shared" si="29"/>
        <v/>
      </c>
      <c r="N384" s="210" t="str">
        <f t="shared" si="30"/>
        <v/>
      </c>
      <c r="O384" s="210" t="str">
        <f t="shared" si="31"/>
        <v/>
      </c>
    </row>
    <row r="385" spans="5:15">
      <c r="E385" s="364"/>
      <c r="K385" s="209" t="str">
        <f t="shared" si="28"/>
        <v/>
      </c>
      <c r="L385" s="209" t="str">
        <f>IF(E385="","",IF(COUNTIFS(Table2[[#All],[De (Lote)]],Input_APM!F385)&gt;0,INDEX(Table2[[#All],[Para (Ticker Daniel)]],MATCH(Input_APM!F385,Table2[[#All],[De (Lote)]],0)),Input_APM!F385))</f>
        <v/>
      </c>
      <c r="M385" s="209" t="str">
        <f t="shared" si="29"/>
        <v/>
      </c>
      <c r="N385" s="210" t="str">
        <f t="shared" si="30"/>
        <v/>
      </c>
      <c r="O385" s="210" t="str">
        <f t="shared" si="31"/>
        <v/>
      </c>
    </row>
    <row r="386" spans="5:15">
      <c r="E386" s="364"/>
      <c r="K386" s="209" t="str">
        <f t="shared" si="28"/>
        <v/>
      </c>
      <c r="L386" s="209" t="str">
        <f>IF(E386="","",IF(COUNTIFS(Table2[[#All],[De (Lote)]],Input_APM!F386)&gt;0,INDEX(Table2[[#All],[Para (Ticker Daniel)]],MATCH(Input_APM!F386,Table2[[#All],[De (Lote)]],0)),Input_APM!F386))</f>
        <v/>
      </c>
      <c r="M386" s="209" t="str">
        <f t="shared" si="29"/>
        <v/>
      </c>
      <c r="N386" s="210" t="str">
        <f t="shared" si="30"/>
        <v/>
      </c>
      <c r="O386" s="210" t="str">
        <f t="shared" si="31"/>
        <v/>
      </c>
    </row>
    <row r="387" spans="5:15">
      <c r="E387" s="364"/>
      <c r="K387" s="209" t="str">
        <f t="shared" si="28"/>
        <v/>
      </c>
      <c r="L387" s="209" t="str">
        <f>IF(E387="","",IF(COUNTIFS(Table2[[#All],[De (Lote)]],Input_APM!F387)&gt;0,INDEX(Table2[[#All],[Para (Ticker Daniel)]],MATCH(Input_APM!F387,Table2[[#All],[De (Lote)]],0)),Input_APM!F387))</f>
        <v/>
      </c>
      <c r="M387" s="209" t="str">
        <f t="shared" si="29"/>
        <v/>
      </c>
      <c r="N387" s="210" t="str">
        <f t="shared" si="30"/>
        <v/>
      </c>
      <c r="O387" s="210" t="str">
        <f t="shared" si="31"/>
        <v/>
      </c>
    </row>
    <row r="388" spans="5:15">
      <c r="E388" s="364"/>
      <c r="K388" s="209" t="str">
        <f t="shared" si="28"/>
        <v/>
      </c>
      <c r="L388" s="209" t="str">
        <f>IF(E388="","",IF(COUNTIFS(Table2[[#All],[De (Lote)]],Input_APM!F388)&gt;0,INDEX(Table2[[#All],[Para (Ticker Daniel)]],MATCH(Input_APM!F388,Table2[[#All],[De (Lote)]],0)),Input_APM!F388))</f>
        <v/>
      </c>
      <c r="M388" s="209" t="str">
        <f t="shared" si="29"/>
        <v/>
      </c>
      <c r="N388" s="210" t="str">
        <f t="shared" si="30"/>
        <v/>
      </c>
      <c r="O388" s="210" t="str">
        <f t="shared" si="31"/>
        <v/>
      </c>
    </row>
    <row r="389" spans="5:15">
      <c r="E389" s="364"/>
      <c r="K389" s="209" t="str">
        <f t="shared" si="28"/>
        <v/>
      </c>
      <c r="L389" s="209" t="str">
        <f>IF(E389="","",IF(COUNTIFS(Table2[[#All],[De (Lote)]],Input_APM!F389)&gt;0,INDEX(Table2[[#All],[Para (Ticker Daniel)]],MATCH(Input_APM!F389,Table2[[#All],[De (Lote)]],0)),Input_APM!F389))</f>
        <v/>
      </c>
      <c r="M389" s="209" t="str">
        <f t="shared" si="29"/>
        <v/>
      </c>
      <c r="N389" s="210" t="str">
        <f t="shared" si="30"/>
        <v/>
      </c>
      <c r="O389" s="210" t="str">
        <f t="shared" si="31"/>
        <v/>
      </c>
    </row>
    <row r="390" spans="5:15">
      <c r="E390" s="364"/>
      <c r="K390" s="209" t="str">
        <f t="shared" si="28"/>
        <v/>
      </c>
      <c r="L390" s="209" t="str">
        <f>IF(E390="","",IF(COUNTIFS(Table2[[#All],[De (Lote)]],Input_APM!F390)&gt;0,INDEX(Table2[[#All],[Para (Ticker Daniel)]],MATCH(Input_APM!F390,Table2[[#All],[De (Lote)]],0)),Input_APM!F390))</f>
        <v/>
      </c>
      <c r="M390" s="209" t="str">
        <f t="shared" si="29"/>
        <v/>
      </c>
      <c r="N390" s="210" t="str">
        <f t="shared" si="30"/>
        <v/>
      </c>
      <c r="O390" s="210" t="str">
        <f t="shared" si="31"/>
        <v/>
      </c>
    </row>
    <row r="391" spans="5:15">
      <c r="E391" s="364"/>
      <c r="K391" s="209" t="str">
        <f t="shared" si="28"/>
        <v/>
      </c>
      <c r="L391" s="209" t="str">
        <f>IF(E391="","",IF(COUNTIFS(Table2[[#All],[De (Lote)]],Input_APM!F391)&gt;0,INDEX(Table2[[#All],[Para (Ticker Daniel)]],MATCH(Input_APM!F391,Table2[[#All],[De (Lote)]],0)),Input_APM!F391))</f>
        <v/>
      </c>
      <c r="M391" s="209" t="str">
        <f t="shared" si="29"/>
        <v/>
      </c>
      <c r="N391" s="210" t="str">
        <f t="shared" si="30"/>
        <v/>
      </c>
      <c r="O391" s="210" t="str">
        <f t="shared" si="31"/>
        <v/>
      </c>
    </row>
    <row r="392" spans="5:15">
      <c r="E392" s="364"/>
      <c r="K392" s="209" t="str">
        <f t="shared" si="28"/>
        <v/>
      </c>
      <c r="L392" s="209" t="str">
        <f>IF(E392="","",IF(COUNTIFS(Table2[[#All],[De (Lote)]],Input_APM!F392)&gt;0,INDEX(Table2[[#All],[Para (Ticker Daniel)]],MATCH(Input_APM!F392,Table2[[#All],[De (Lote)]],0)),Input_APM!F392))</f>
        <v/>
      </c>
      <c r="M392" s="209" t="str">
        <f t="shared" si="29"/>
        <v/>
      </c>
      <c r="N392" s="210" t="str">
        <f t="shared" si="30"/>
        <v/>
      </c>
      <c r="O392" s="210" t="str">
        <f t="shared" si="31"/>
        <v/>
      </c>
    </row>
    <row r="393" spans="5:15">
      <c r="E393" s="364"/>
      <c r="K393" s="209" t="str">
        <f t="shared" si="28"/>
        <v/>
      </c>
      <c r="L393" s="209" t="str">
        <f>IF(E393="","",IF(COUNTIFS(Table2[[#All],[De (Lote)]],Input_APM!F393)&gt;0,INDEX(Table2[[#All],[Para (Ticker Daniel)]],MATCH(Input_APM!F393,Table2[[#All],[De (Lote)]],0)),Input_APM!F393))</f>
        <v/>
      </c>
      <c r="M393" s="209" t="str">
        <f t="shared" si="29"/>
        <v/>
      </c>
      <c r="N393" s="210" t="str">
        <f t="shared" si="30"/>
        <v/>
      </c>
      <c r="O393" s="210" t="str">
        <f t="shared" si="31"/>
        <v/>
      </c>
    </row>
    <row r="394" spans="5:15">
      <c r="E394" s="364"/>
      <c r="K394" s="209" t="str">
        <f t="shared" si="28"/>
        <v/>
      </c>
      <c r="L394" s="209" t="str">
        <f>IF(E394="","",IF(COUNTIFS(Table2[[#All],[De (Lote)]],Input_APM!F394)&gt;0,INDEX(Table2[[#All],[Para (Ticker Daniel)]],MATCH(Input_APM!F394,Table2[[#All],[De (Lote)]],0)),Input_APM!F394))</f>
        <v/>
      </c>
      <c r="M394" s="209" t="str">
        <f t="shared" si="29"/>
        <v/>
      </c>
      <c r="N394" s="210" t="str">
        <f t="shared" si="30"/>
        <v/>
      </c>
      <c r="O394" s="210" t="str">
        <f t="shared" si="31"/>
        <v/>
      </c>
    </row>
    <row r="395" spans="5:15">
      <c r="E395" s="364"/>
      <c r="K395" s="209" t="str">
        <f t="shared" si="28"/>
        <v/>
      </c>
      <c r="L395" s="209" t="str">
        <f>IF(E395="","",IF(COUNTIFS(Table2[[#All],[De (Lote)]],Input_APM!F395)&gt;0,INDEX(Table2[[#All],[Para (Ticker Daniel)]],MATCH(Input_APM!F395,Table2[[#All],[De (Lote)]],0)),Input_APM!F395))</f>
        <v/>
      </c>
      <c r="M395" s="209" t="str">
        <f t="shared" si="29"/>
        <v/>
      </c>
      <c r="N395" s="210" t="str">
        <f t="shared" si="30"/>
        <v/>
      </c>
      <c r="O395" s="210" t="str">
        <f t="shared" si="31"/>
        <v/>
      </c>
    </row>
    <row r="396" spans="5:15">
      <c r="E396" s="364"/>
      <c r="K396" s="209" t="str">
        <f t="shared" si="28"/>
        <v/>
      </c>
      <c r="L396" s="209" t="str">
        <f>IF(E396="","",IF(COUNTIFS(Table2[[#All],[De (Lote)]],Input_APM!F396)&gt;0,INDEX(Table2[[#All],[Para (Ticker Daniel)]],MATCH(Input_APM!F396,Table2[[#All],[De (Lote)]],0)),Input_APM!F396))</f>
        <v/>
      </c>
      <c r="M396" s="209" t="str">
        <f t="shared" si="29"/>
        <v/>
      </c>
      <c r="N396" s="210" t="str">
        <f t="shared" si="30"/>
        <v/>
      </c>
      <c r="O396" s="210" t="str">
        <f t="shared" si="31"/>
        <v/>
      </c>
    </row>
    <row r="397" spans="5:15">
      <c r="E397" s="364"/>
      <c r="K397" s="209" t="str">
        <f>IF(E397="","",E397)</f>
        <v/>
      </c>
      <c r="L397" s="209" t="str">
        <f>IF(E397="","",IF(COUNTIFS(Table2[[#All],[De (Lote)]],Input_APM!F397)&gt;0,INDEX(Table2[[#All],[Para (Ticker Daniel)]],MATCH(Input_APM!F397,Table2[[#All],[De (Lote)]],0)),Input_APM!F397))</f>
        <v/>
      </c>
      <c r="M397" s="209" t="str">
        <f>IF(E397="","",G397)</f>
        <v/>
      </c>
      <c r="N397" s="210" t="str">
        <f>IF(E397="","",H397)</f>
        <v/>
      </c>
      <c r="O397" s="210" t="str">
        <f>IF(E397="","",I397)</f>
        <v/>
      </c>
    </row>
    <row r="398" spans="5:15">
      <c r="E398" s="364"/>
    </row>
    <row r="399" spans="5:15">
      <c r="E399" s="364"/>
    </row>
    <row r="400" spans="5:15">
      <c r="E400" s="364"/>
    </row>
    <row r="401" spans="5:5">
      <c r="E401" s="364"/>
    </row>
    <row r="402" spans="5:5">
      <c r="E402" s="364"/>
    </row>
    <row r="403" spans="5:5">
      <c r="E403" s="364"/>
    </row>
    <row r="404" spans="5:5">
      <c r="E404" s="364"/>
    </row>
    <row r="405" spans="5:5">
      <c r="E405" s="364"/>
    </row>
    <row r="406" spans="5:5">
      <c r="E406" s="364"/>
    </row>
    <row r="407" spans="5:5">
      <c r="E407" s="364"/>
    </row>
    <row r="408" spans="5:5">
      <c r="E408" s="364"/>
    </row>
    <row r="409" spans="5:5">
      <c r="E409" s="364"/>
    </row>
    <row r="410" spans="5:5">
      <c r="E410" s="364"/>
    </row>
    <row r="411" spans="5:5">
      <c r="E411" s="364"/>
    </row>
    <row r="412" spans="5:5">
      <c r="E412" s="364"/>
    </row>
    <row r="413" spans="5:5">
      <c r="E413" s="364"/>
    </row>
    <row r="414" spans="5:5">
      <c r="E414" s="364"/>
    </row>
    <row r="415" spans="5:5">
      <c r="E415" s="364"/>
    </row>
    <row r="416" spans="5:5">
      <c r="E416" s="364"/>
    </row>
    <row r="417" spans="5:5">
      <c r="E417" s="364"/>
    </row>
    <row r="418" spans="5:5">
      <c r="E418" s="364"/>
    </row>
    <row r="419" spans="5:5">
      <c r="E419" s="364"/>
    </row>
    <row r="420" spans="5:5">
      <c r="E420" s="364"/>
    </row>
    <row r="421" spans="5:5">
      <c r="E421" s="364"/>
    </row>
    <row r="422" spans="5:5">
      <c r="E422" s="364"/>
    </row>
    <row r="423" spans="5:5">
      <c r="E423" s="364"/>
    </row>
    <row r="424" spans="5:5">
      <c r="E424" s="364"/>
    </row>
    <row r="425" spans="5:5">
      <c r="E425" s="364"/>
    </row>
    <row r="426" spans="5:5">
      <c r="E426" s="364"/>
    </row>
    <row r="427" spans="5:5">
      <c r="E427" s="364"/>
    </row>
    <row r="428" spans="5:5">
      <c r="E428" s="364"/>
    </row>
    <row r="429" spans="5:5">
      <c r="E429" s="364"/>
    </row>
    <row r="430" spans="5:5">
      <c r="E430" s="364"/>
    </row>
    <row r="431" spans="5:5">
      <c r="E431" s="364"/>
    </row>
    <row r="432" spans="5:5">
      <c r="E432" s="364"/>
    </row>
    <row r="433" spans="5:5">
      <c r="E433" s="364"/>
    </row>
    <row r="434" spans="5:5">
      <c r="E434" s="364"/>
    </row>
    <row r="435" spans="5:5">
      <c r="E435" s="364"/>
    </row>
    <row r="436" spans="5:5">
      <c r="E436" s="364"/>
    </row>
    <row r="437" spans="5:5">
      <c r="E437" s="364"/>
    </row>
    <row r="438" spans="5:5">
      <c r="E438" s="364"/>
    </row>
    <row r="439" spans="5:5">
      <c r="E439" s="364"/>
    </row>
    <row r="440" spans="5:5">
      <c r="E440" s="364"/>
    </row>
    <row r="441" spans="5:5">
      <c r="E441" s="364"/>
    </row>
    <row r="442" spans="5:5">
      <c r="E442" s="364"/>
    </row>
    <row r="443" spans="5:5">
      <c r="E443" s="364"/>
    </row>
    <row r="444" spans="5:5">
      <c r="E444" s="364"/>
    </row>
    <row r="445" spans="5:5">
      <c r="E445" s="364"/>
    </row>
    <row r="446" spans="5:5">
      <c r="E446" s="364"/>
    </row>
    <row r="447" spans="5:5">
      <c r="E447" s="364"/>
    </row>
    <row r="448" spans="5:5">
      <c r="E448" s="364"/>
    </row>
    <row r="449" spans="5:5">
      <c r="E449" s="364"/>
    </row>
    <row r="450" spans="5:5">
      <c r="E450" s="364"/>
    </row>
    <row r="451" spans="5:5">
      <c r="E451" s="364"/>
    </row>
    <row r="452" spans="5:5">
      <c r="E452" s="364"/>
    </row>
    <row r="453" spans="5:5">
      <c r="E453" s="364"/>
    </row>
    <row r="454" spans="5:5">
      <c r="E454" s="364"/>
    </row>
    <row r="455" spans="5:5">
      <c r="E455" s="364"/>
    </row>
    <row r="456" spans="5:5">
      <c r="E456" s="364"/>
    </row>
    <row r="457" spans="5:5">
      <c r="E457" s="364"/>
    </row>
    <row r="458" spans="5:5">
      <c r="E458" s="364"/>
    </row>
    <row r="459" spans="5:5">
      <c r="E459" s="364"/>
    </row>
    <row r="460" spans="5:5">
      <c r="E460" s="364"/>
    </row>
    <row r="461" spans="5:5">
      <c r="E461" s="364"/>
    </row>
    <row r="462" spans="5:5">
      <c r="E462" s="364"/>
    </row>
    <row r="463" spans="5:5">
      <c r="E463" s="364"/>
    </row>
    <row r="464" spans="5:5">
      <c r="E464" s="364"/>
    </row>
    <row r="465" spans="5:5">
      <c r="E465" s="364"/>
    </row>
    <row r="466" spans="5:5">
      <c r="E466" s="364"/>
    </row>
    <row r="467" spans="5:5">
      <c r="E467" s="364"/>
    </row>
    <row r="468" spans="5:5">
      <c r="E468" s="364"/>
    </row>
    <row r="469" spans="5:5">
      <c r="E469" s="364"/>
    </row>
    <row r="470" spans="5:5">
      <c r="E470" s="364"/>
    </row>
    <row r="471" spans="5:5">
      <c r="E471" s="364"/>
    </row>
    <row r="472" spans="5:5">
      <c r="E472" s="364"/>
    </row>
    <row r="473" spans="5:5">
      <c r="E473" s="364"/>
    </row>
    <row r="474" spans="5:5">
      <c r="E474" s="364"/>
    </row>
    <row r="475" spans="5:5">
      <c r="E475" s="364"/>
    </row>
    <row r="476" spans="5:5">
      <c r="E476" s="364"/>
    </row>
    <row r="477" spans="5:5">
      <c r="E477" s="364"/>
    </row>
    <row r="478" spans="5:5">
      <c r="E478" s="364"/>
    </row>
    <row r="479" spans="5:5">
      <c r="E479" s="364"/>
    </row>
    <row r="480" spans="5:5">
      <c r="E480" s="364"/>
    </row>
    <row r="481" spans="5:5">
      <c r="E481" s="364"/>
    </row>
    <row r="482" spans="5:5">
      <c r="E482" s="364"/>
    </row>
    <row r="483" spans="5:5">
      <c r="E483" s="364"/>
    </row>
    <row r="484" spans="5:5">
      <c r="E484" s="364"/>
    </row>
    <row r="485" spans="5:5">
      <c r="E485" s="364"/>
    </row>
    <row r="486" spans="5:5">
      <c r="E486" s="364"/>
    </row>
    <row r="487" spans="5:5">
      <c r="E487" s="364"/>
    </row>
    <row r="488" spans="5:5">
      <c r="E488" s="364"/>
    </row>
    <row r="489" spans="5:5">
      <c r="E489" s="364"/>
    </row>
    <row r="490" spans="5:5">
      <c r="E490" s="364"/>
    </row>
    <row r="491" spans="5:5">
      <c r="E491" s="364"/>
    </row>
    <row r="492" spans="5:5">
      <c r="E492" s="364"/>
    </row>
    <row r="493" spans="5:5">
      <c r="E493" s="364"/>
    </row>
    <row r="494" spans="5:5">
      <c r="E494" s="364"/>
    </row>
    <row r="495" spans="5:5">
      <c r="E495" s="364"/>
    </row>
    <row r="496" spans="5:5">
      <c r="E496" s="364"/>
    </row>
    <row r="497" spans="5:5">
      <c r="E497" s="364"/>
    </row>
    <row r="498" spans="5:5">
      <c r="E498" s="364"/>
    </row>
    <row r="499" spans="5:5">
      <c r="E499" s="364"/>
    </row>
    <row r="500" spans="5:5">
      <c r="E500" s="364"/>
    </row>
    <row r="501" spans="5:5">
      <c r="E501" s="364"/>
    </row>
    <row r="502" spans="5:5">
      <c r="E502" s="364"/>
    </row>
    <row r="503" spans="5:5">
      <c r="E503" s="364"/>
    </row>
    <row r="504" spans="5:5">
      <c r="E504" s="364"/>
    </row>
    <row r="505" spans="5:5">
      <c r="E505" s="364"/>
    </row>
    <row r="506" spans="5:5">
      <c r="E506" s="364"/>
    </row>
    <row r="507" spans="5:5">
      <c r="E507" s="364"/>
    </row>
    <row r="508" spans="5:5">
      <c r="E508" s="364"/>
    </row>
    <row r="509" spans="5:5">
      <c r="E509" s="364"/>
    </row>
    <row r="510" spans="5:5">
      <c r="E510" s="364"/>
    </row>
    <row r="511" spans="5:5">
      <c r="E511" s="364"/>
    </row>
    <row r="512" spans="5:5">
      <c r="E512" s="364"/>
    </row>
    <row r="513" spans="5:5">
      <c r="E513" s="364"/>
    </row>
    <row r="514" spans="5:5">
      <c r="E514" s="364"/>
    </row>
    <row r="515" spans="5:5">
      <c r="E515" s="364"/>
    </row>
    <row r="516" spans="5:5">
      <c r="E516" s="364"/>
    </row>
    <row r="517" spans="5:5">
      <c r="E517" s="364"/>
    </row>
    <row r="518" spans="5:5">
      <c r="E518" s="364"/>
    </row>
    <row r="519" spans="5:5">
      <c r="E519" s="364"/>
    </row>
    <row r="520" spans="5:5">
      <c r="E520" s="364"/>
    </row>
    <row r="521" spans="5:5">
      <c r="E521" s="364"/>
    </row>
    <row r="522" spans="5:5">
      <c r="E522" s="364"/>
    </row>
    <row r="523" spans="5:5">
      <c r="E523" s="364"/>
    </row>
    <row r="524" spans="5:5">
      <c r="E524" s="364"/>
    </row>
    <row r="525" spans="5:5">
      <c r="E525" s="364"/>
    </row>
    <row r="526" spans="5:5">
      <c r="E526" s="364"/>
    </row>
    <row r="527" spans="5:5">
      <c r="E527" s="364"/>
    </row>
    <row r="528" spans="5:5">
      <c r="E528" s="364"/>
    </row>
    <row r="529" spans="5:5">
      <c r="E529" s="364"/>
    </row>
    <row r="530" spans="5:5">
      <c r="E530" s="364"/>
    </row>
    <row r="531" spans="5:5">
      <c r="E531" s="364"/>
    </row>
    <row r="532" spans="5:5">
      <c r="E532" s="364"/>
    </row>
    <row r="533" spans="5:5">
      <c r="E533" s="364"/>
    </row>
    <row r="534" spans="5:5">
      <c r="E534" s="364"/>
    </row>
    <row r="535" spans="5:5">
      <c r="E535" s="364"/>
    </row>
    <row r="536" spans="5:5">
      <c r="E536" s="364"/>
    </row>
    <row r="537" spans="5:5">
      <c r="E537" s="364"/>
    </row>
    <row r="538" spans="5:5">
      <c r="E538" s="364"/>
    </row>
    <row r="539" spans="5:5">
      <c r="E539" s="364"/>
    </row>
    <row r="540" spans="5:5">
      <c r="E540" s="364"/>
    </row>
    <row r="541" spans="5:5">
      <c r="E541" s="364"/>
    </row>
    <row r="542" spans="5:5">
      <c r="E542" s="364"/>
    </row>
    <row r="543" spans="5:5">
      <c r="E543" s="364"/>
    </row>
    <row r="544" spans="5:5">
      <c r="E544" s="364"/>
    </row>
    <row r="545" spans="5:5">
      <c r="E545" s="364"/>
    </row>
    <row r="546" spans="5:5">
      <c r="E546" s="364"/>
    </row>
    <row r="547" spans="5:5">
      <c r="E547" s="364"/>
    </row>
    <row r="548" spans="5:5">
      <c r="E548" s="364"/>
    </row>
    <row r="549" spans="5:5">
      <c r="E549" s="364"/>
    </row>
    <row r="550" spans="5:5">
      <c r="E550" s="364"/>
    </row>
    <row r="551" spans="5:5">
      <c r="E551" s="364"/>
    </row>
    <row r="552" spans="5:5">
      <c r="E552" s="364"/>
    </row>
    <row r="553" spans="5:5">
      <c r="E553" s="364"/>
    </row>
    <row r="554" spans="5:5">
      <c r="E554" s="364"/>
    </row>
    <row r="555" spans="5:5">
      <c r="E555" s="364"/>
    </row>
    <row r="556" spans="5:5">
      <c r="E556" s="364"/>
    </row>
    <row r="557" spans="5:5">
      <c r="E557" s="364"/>
    </row>
    <row r="558" spans="5:5">
      <c r="E558" s="364"/>
    </row>
    <row r="559" spans="5:5">
      <c r="E559" s="364"/>
    </row>
    <row r="560" spans="5:5">
      <c r="E560" s="364"/>
    </row>
    <row r="561" spans="5:5">
      <c r="E561" s="364"/>
    </row>
    <row r="562" spans="5:5">
      <c r="E562" s="364"/>
    </row>
    <row r="563" spans="5:5">
      <c r="E563" s="364"/>
    </row>
    <row r="564" spans="5:5">
      <c r="E564" s="364"/>
    </row>
    <row r="565" spans="5:5">
      <c r="E565" s="364"/>
    </row>
    <row r="566" spans="5:5">
      <c r="E566" s="364"/>
    </row>
    <row r="567" spans="5:5">
      <c r="E567" s="364"/>
    </row>
    <row r="568" spans="5:5">
      <c r="E568" s="364"/>
    </row>
    <row r="569" spans="5:5">
      <c r="E569" s="364"/>
    </row>
    <row r="570" spans="5:5">
      <c r="E570" s="364"/>
    </row>
    <row r="571" spans="5:5">
      <c r="E571" s="364"/>
    </row>
    <row r="572" spans="5:5">
      <c r="E572" s="364"/>
    </row>
    <row r="573" spans="5:5">
      <c r="E573" s="364"/>
    </row>
    <row r="574" spans="5:5">
      <c r="E574" s="364"/>
    </row>
    <row r="575" spans="5:5">
      <c r="E575" s="364"/>
    </row>
    <row r="576" spans="5:5">
      <c r="E576" s="364"/>
    </row>
    <row r="577" spans="5:5">
      <c r="E577" s="364"/>
    </row>
    <row r="578" spans="5:5">
      <c r="E578" s="364"/>
    </row>
    <row r="579" spans="5:5">
      <c r="E579" s="364"/>
    </row>
    <row r="580" spans="5:5">
      <c r="E580" s="364"/>
    </row>
  </sheetData>
  <autoFilter ref="K1:O397" xr:uid="{F0D72072-B23C-439A-8B65-10BB2C0A9065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importar_one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104775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1FAB9-6DAE-485A-9690-3972D872F626}">
  <sheetPr codeName="Sheet21">
    <tabColor theme="5" tint="0.79998168889431442"/>
  </sheetPr>
  <dimension ref="E1:O512"/>
  <sheetViews>
    <sheetView showGridLines="0" zoomScale="90" zoomScaleNormal="90" workbookViewId="0">
      <selection activeCell="E1" sqref="E1:I78"/>
    </sheetView>
  </sheetViews>
  <sheetFormatPr defaultColWidth="9.140625" defaultRowHeight="12.75" outlineLevelCol="1"/>
  <cols>
    <col min="1" max="4" width="9.140625" style="208"/>
    <col min="5" max="5" width="31.7109375" style="208" bestFit="1" customWidth="1" outlineLevel="1"/>
    <col min="6" max="6" width="45.5703125" style="208" bestFit="1" customWidth="1" outlineLevel="1"/>
    <col min="7" max="7" width="24.42578125" style="208" customWidth="1" outlineLevel="1"/>
    <col min="8" max="8" width="13.28515625" style="208" bestFit="1" customWidth="1" outlineLevel="1"/>
    <col min="9" max="9" width="14" style="208" bestFit="1" customWidth="1" outlineLevel="1"/>
    <col min="10" max="10" width="9.140625" style="208"/>
    <col min="11" max="11" width="30.5703125" style="208" bestFit="1" customWidth="1"/>
    <col min="12" max="12" width="41.42578125" style="208" bestFit="1" customWidth="1"/>
    <col min="13" max="13" width="24" style="208" bestFit="1" customWidth="1"/>
    <col min="14" max="14" width="10.42578125" style="208" bestFit="1" customWidth="1"/>
    <col min="15" max="15" width="10.85546875" style="208" bestFit="1" customWidth="1"/>
    <col min="16" max="16384" width="9.140625" style="208"/>
  </cols>
  <sheetData>
    <row r="1" spans="5:15">
      <c r="E1" s="208" t="s">
        <v>312</v>
      </c>
      <c r="F1" s="208" t="s">
        <v>174</v>
      </c>
      <c r="G1" s="208" t="s">
        <v>313</v>
      </c>
      <c r="H1" s="208" t="s">
        <v>293</v>
      </c>
      <c r="I1" s="208" t="s">
        <v>314</v>
      </c>
      <c r="K1" s="225" t="s">
        <v>312</v>
      </c>
      <c r="L1" s="225" t="s">
        <v>174</v>
      </c>
      <c r="M1" s="225" t="s">
        <v>313</v>
      </c>
      <c r="N1" s="225" t="s">
        <v>293</v>
      </c>
      <c r="O1" s="225" t="s">
        <v>314</v>
      </c>
    </row>
    <row r="2" spans="5:15">
      <c r="E2" s="208" t="s">
        <v>2475</v>
      </c>
      <c r="F2" s="208" t="s">
        <v>2450</v>
      </c>
      <c r="G2" s="208" t="s">
        <v>282</v>
      </c>
      <c r="H2" s="208">
        <v>0</v>
      </c>
      <c r="I2" s="208">
        <v>0</v>
      </c>
      <c r="K2" s="209" t="str">
        <f>IF(E2="","",E2)</f>
        <v>NASDAQ-100 E-mini Options - CME</v>
      </c>
      <c r="L2" s="209" t="str">
        <f>IF(E2="","",IF(COUNTIFS(Table2[[#All],[De (Lote)]],'Input_APM (Zenith)'!F2)&gt;0,INDEX(Table2[[#All],[Para (Ticker Daniel)]],MATCH('Input_APM (Zenith)'!F2,Table2[[#All],[De (Lote)]],0)),'Input_APM (Zenith)'!F2))</f>
        <v>1OG6P 25000</v>
      </c>
      <c r="M2" s="209" t="str">
        <f>IF(E2="","",G2)</f>
        <v>EQTY.IntlUS.off</v>
      </c>
      <c r="N2" s="210">
        <f>IF(E2="","",H2)</f>
        <v>0</v>
      </c>
      <c r="O2" s="210">
        <f>IF(E2="","",I2)</f>
        <v>0</v>
      </c>
    </row>
    <row r="3" spans="5:15">
      <c r="E3" s="208" t="s">
        <v>2475</v>
      </c>
      <c r="F3" s="208" t="s">
        <v>2469</v>
      </c>
      <c r="G3" s="208" t="s">
        <v>282</v>
      </c>
      <c r="H3" s="208">
        <v>2</v>
      </c>
      <c r="I3" s="208">
        <v>0</v>
      </c>
      <c r="K3" s="209" t="str">
        <f t="shared" ref="K3:K66" si="0">IF(E3="","",E3)</f>
        <v>NASDAQ-100 E-mini Options - CME</v>
      </c>
      <c r="L3" s="209" t="str">
        <f>IF(E3="","",IF(COUNTIFS(Table2[[#All],[De (Lote)]],'Input_APM (Zenith)'!F3)&gt;0,INDEX(Table2[[#All],[Para (Ticker Daniel)]],MATCH('Input_APM (Zenith)'!F3,Table2[[#All],[De (Lote)]],0)),'Input_APM (Zenith)'!F3))</f>
        <v>1OG6P 25750</v>
      </c>
      <c r="M3" s="209" t="str">
        <f t="shared" ref="M3:M66" si="1">IF(E3="","",G3)</f>
        <v>EQTY.IntlUS.off</v>
      </c>
      <c r="N3" s="210">
        <f t="shared" ref="N3:N66" si="2">IF(E3="","",H3)</f>
        <v>2</v>
      </c>
      <c r="O3" s="210">
        <f t="shared" ref="O3:O66" si="3">IF(E3="","",I3)</f>
        <v>0</v>
      </c>
    </row>
    <row r="4" spans="5:15">
      <c r="E4" s="208" t="s">
        <v>317</v>
      </c>
      <c r="F4" s="208" t="s">
        <v>79</v>
      </c>
      <c r="G4" s="208" t="s">
        <v>282</v>
      </c>
      <c r="H4" s="208">
        <v>184</v>
      </c>
      <c r="I4" s="208">
        <v>0</v>
      </c>
      <c r="K4" s="209" t="str">
        <f t="shared" si="0"/>
        <v>US Equity</v>
      </c>
      <c r="L4" s="209" t="str">
        <f>IF(E4="","",IF(COUNTIFS(Table2[[#All],[De (Lote)]],'Input_APM (Zenith)'!F4)&gt;0,INDEX(Table2[[#All],[Para (Ticker Daniel)]],MATCH('Input_APM (Zenith)'!F4,Table2[[#All],[De (Lote)]],0)),'Input_APM (Zenith)'!F4))</f>
        <v>AAPL</v>
      </c>
      <c r="M4" s="209" t="str">
        <f t="shared" si="1"/>
        <v>EQTY.IntlUS.off</v>
      </c>
      <c r="N4" s="210">
        <f t="shared" si="2"/>
        <v>184</v>
      </c>
      <c r="O4" s="210">
        <f t="shared" si="3"/>
        <v>0</v>
      </c>
    </row>
    <row r="5" spans="5:15">
      <c r="E5" s="208" t="s">
        <v>319</v>
      </c>
      <c r="F5" s="208" t="s">
        <v>2445</v>
      </c>
      <c r="G5" s="208" t="s">
        <v>282</v>
      </c>
      <c r="H5" s="208">
        <v>21</v>
      </c>
      <c r="I5" s="208">
        <v>21</v>
      </c>
      <c r="K5" s="209" t="str">
        <f t="shared" si="0"/>
        <v>US Equity Options</v>
      </c>
      <c r="L5" s="209" t="str">
        <f>IF(E5="","",IF(COUNTIFS(Table2[[#All],[De (Lote)]],'Input_APM (Zenith)'!F5)&gt;0,INDEX(Table2[[#All],[Para (Ticker Daniel)]],MATCH('Input_APM (Zenith)'!F5,Table2[[#All],[De (Lote)]],0)),'Input_APM (Zenith)'!F5))</f>
        <v>AAPL US 04/17/26 C260</v>
      </c>
      <c r="M5" s="209" t="str">
        <f t="shared" si="1"/>
        <v>EQTY.IntlUS.off</v>
      </c>
      <c r="N5" s="210">
        <f t="shared" si="2"/>
        <v>21</v>
      </c>
      <c r="O5" s="210">
        <f t="shared" si="3"/>
        <v>21</v>
      </c>
    </row>
    <row r="6" spans="5:15">
      <c r="E6" s="208" t="s">
        <v>319</v>
      </c>
      <c r="F6" s="208" t="s">
        <v>2446</v>
      </c>
      <c r="G6" s="208" t="s">
        <v>282</v>
      </c>
      <c r="H6" s="208">
        <v>-21</v>
      </c>
      <c r="I6" s="208">
        <v>-21</v>
      </c>
      <c r="K6" s="209" t="str">
        <f t="shared" si="0"/>
        <v>US Equity Options</v>
      </c>
      <c r="L6" s="209" t="str">
        <f>IF(E6="","",IF(COUNTIFS(Table2[[#All],[De (Lote)]],'Input_APM (Zenith)'!F6)&gt;0,INDEX(Table2[[#All],[Para (Ticker Daniel)]],MATCH('Input_APM (Zenith)'!F6,Table2[[#All],[De (Lote)]],0)),'Input_APM (Zenith)'!F6))</f>
        <v>AAPL US 04/17/26 C280</v>
      </c>
      <c r="M6" s="209" t="str">
        <f t="shared" si="1"/>
        <v>EQTY.IntlUS.off</v>
      </c>
      <c r="N6" s="210">
        <f t="shared" si="2"/>
        <v>-21</v>
      </c>
      <c r="O6" s="210">
        <f t="shared" si="3"/>
        <v>-21</v>
      </c>
    </row>
    <row r="7" spans="5:15">
      <c r="E7" s="208" t="s">
        <v>317</v>
      </c>
      <c r="F7" s="208" t="s">
        <v>2353</v>
      </c>
      <c r="G7" s="208" t="s">
        <v>282</v>
      </c>
      <c r="H7" s="208">
        <v>478</v>
      </c>
      <c r="I7" s="208">
        <v>471</v>
      </c>
      <c r="K7" s="209" t="str">
        <f t="shared" si="0"/>
        <v>US Equity</v>
      </c>
      <c r="L7" s="209" t="str">
        <f>IF(E7="","",IF(COUNTIFS(Table2[[#All],[De (Lote)]],'Input_APM (Zenith)'!F7)&gt;0,INDEX(Table2[[#All],[Para (Ticker Daniel)]],MATCH('Input_APM (Zenith)'!F7,Table2[[#All],[De (Lote)]],0)),'Input_APM (Zenith)'!F7))</f>
        <v>AKAM</v>
      </c>
      <c r="M7" s="209" t="str">
        <f t="shared" si="1"/>
        <v>EQTY.IntlUS.off</v>
      </c>
      <c r="N7" s="210">
        <f t="shared" si="2"/>
        <v>478</v>
      </c>
      <c r="O7" s="210">
        <f t="shared" si="3"/>
        <v>471</v>
      </c>
    </row>
    <row r="8" spans="5:15">
      <c r="E8" s="208" t="s">
        <v>317</v>
      </c>
      <c r="F8" s="208" t="s">
        <v>399</v>
      </c>
      <c r="G8" s="208" t="s">
        <v>282</v>
      </c>
      <c r="H8" s="208">
        <v>928</v>
      </c>
      <c r="I8" s="208">
        <v>1028</v>
      </c>
      <c r="K8" s="209" t="str">
        <f t="shared" si="0"/>
        <v>US Equity</v>
      </c>
      <c r="L8" s="209" t="str">
        <f>IF(E8="","",IF(COUNTIFS(Table2[[#All],[De (Lote)]],'Input_APM (Zenith)'!F8)&gt;0,INDEX(Table2[[#All],[Para (Ticker Daniel)]],MATCH('Input_APM (Zenith)'!F8,Table2[[#All],[De (Lote)]],0)),'Input_APM (Zenith)'!F8))</f>
        <v>AMZN</v>
      </c>
      <c r="M8" s="209" t="str">
        <f t="shared" si="1"/>
        <v>EQTY.IntlUS.off</v>
      </c>
      <c r="N8" s="210">
        <f t="shared" si="2"/>
        <v>928</v>
      </c>
      <c r="O8" s="210">
        <f t="shared" si="3"/>
        <v>1028</v>
      </c>
    </row>
    <row r="9" spans="5:15">
      <c r="E9" s="208" t="s">
        <v>320</v>
      </c>
      <c r="F9" s="208" t="s">
        <v>38</v>
      </c>
      <c r="G9" s="208" t="s">
        <v>282</v>
      </c>
      <c r="H9" s="208">
        <v>1294</v>
      </c>
      <c r="I9" s="208">
        <v>1294</v>
      </c>
      <c r="K9" s="209" t="str">
        <f t="shared" si="0"/>
        <v>ETF</v>
      </c>
      <c r="L9" s="209" t="str">
        <f>IF(E9="","",IF(COUNTIFS(Table2[[#All],[De (Lote)]],'Input_APM (Zenith)'!F9)&gt;0,INDEX(Table2[[#All],[Para (Ticker Daniel)]],MATCH('Input_APM (Zenith)'!F9,Table2[[#All],[De (Lote)]],0)),'Input_APM (Zenith)'!F9))</f>
        <v>ASHR</v>
      </c>
      <c r="M9" s="209" t="str">
        <f t="shared" si="1"/>
        <v>EQTY.IntlUS.off</v>
      </c>
      <c r="N9" s="210">
        <f t="shared" si="2"/>
        <v>1294</v>
      </c>
      <c r="O9" s="210">
        <f t="shared" si="3"/>
        <v>1294</v>
      </c>
    </row>
    <row r="10" spans="5:15">
      <c r="E10" s="208" t="s">
        <v>324</v>
      </c>
      <c r="F10" s="208" t="s">
        <v>2224</v>
      </c>
      <c r="G10" s="208" t="s">
        <v>282</v>
      </c>
      <c r="H10" s="208">
        <v>65</v>
      </c>
      <c r="I10" s="208">
        <v>65</v>
      </c>
      <c r="K10" s="209" t="str">
        <f t="shared" si="0"/>
        <v>ETF Options</v>
      </c>
      <c r="L10" s="209" t="str">
        <f>IF(E10="","",IF(COUNTIFS(Table2[[#All],[De (Lote)]],'Input_APM (Zenith)'!F10)&gt;0,INDEX(Table2[[#All],[Para (Ticker Daniel)]],MATCH('Input_APM (Zenith)'!F10,Table2[[#All],[De (Lote)]],0)),'Input_APM (Zenith)'!F10))</f>
        <v>ASHR US 02/20/26 C35</v>
      </c>
      <c r="M10" s="209" t="str">
        <f t="shared" si="1"/>
        <v>EQTY.IntlUS.off</v>
      </c>
      <c r="N10" s="210">
        <f t="shared" si="2"/>
        <v>65</v>
      </c>
      <c r="O10" s="210">
        <f t="shared" si="3"/>
        <v>65</v>
      </c>
    </row>
    <row r="11" spans="5:15">
      <c r="E11" s="208" t="s">
        <v>317</v>
      </c>
      <c r="F11" s="208" t="s">
        <v>137</v>
      </c>
      <c r="G11" s="208" t="s">
        <v>282</v>
      </c>
      <c r="H11" s="208">
        <v>0</v>
      </c>
      <c r="I11" s="208">
        <v>91</v>
      </c>
      <c r="K11" s="209" t="str">
        <f t="shared" si="0"/>
        <v>US Equity</v>
      </c>
      <c r="L11" s="209" t="str">
        <f>IF(E11="","",IF(COUNTIFS(Table2[[#All],[De (Lote)]],'Input_APM (Zenith)'!F11)&gt;0,INDEX(Table2[[#All],[Para (Ticker Daniel)]],MATCH('Input_APM (Zenith)'!F11,Table2[[#All],[De (Lote)]],0)),'Input_APM (Zenith)'!F11))</f>
        <v>AVGO</v>
      </c>
      <c r="M11" s="209" t="str">
        <f t="shared" si="1"/>
        <v>EQTY.IntlUS.off</v>
      </c>
      <c r="N11" s="210">
        <f t="shared" si="2"/>
        <v>0</v>
      </c>
      <c r="O11" s="210">
        <f t="shared" si="3"/>
        <v>91</v>
      </c>
    </row>
    <row r="12" spans="5:15">
      <c r="E12" s="208" t="s">
        <v>319</v>
      </c>
      <c r="F12" s="208" t="s">
        <v>2102</v>
      </c>
      <c r="G12" s="208" t="s">
        <v>282</v>
      </c>
      <c r="H12" s="208">
        <v>6</v>
      </c>
      <c r="I12" s="208">
        <v>6</v>
      </c>
      <c r="K12" s="209" t="str">
        <f t="shared" si="0"/>
        <v>US Equity Options</v>
      </c>
      <c r="L12" s="209" t="str">
        <f>IF(E12="","",IF(COUNTIFS(Table2[[#All],[De (Lote)]],'Input_APM (Zenith)'!F12)&gt;0,INDEX(Table2[[#All],[Para (Ticker Daniel)]],MATCH('Input_APM (Zenith)'!F12,Table2[[#All],[De (Lote)]],0)),'Input_APM (Zenith)'!F12))</f>
        <v>AVGO US 06/18/26 C350</v>
      </c>
      <c r="M12" s="209" t="str">
        <f t="shared" si="1"/>
        <v>EQTY.IntlUS.off</v>
      </c>
      <c r="N12" s="210">
        <f t="shared" si="2"/>
        <v>6</v>
      </c>
      <c r="O12" s="210">
        <f t="shared" si="3"/>
        <v>6</v>
      </c>
    </row>
    <row r="13" spans="5:15">
      <c r="E13" s="208" t="s">
        <v>39</v>
      </c>
      <c r="F13" s="208" t="s">
        <v>461</v>
      </c>
      <c r="G13" s="208" t="s">
        <v>282</v>
      </c>
      <c r="H13" s="208">
        <v>215</v>
      </c>
      <c r="I13" s="208">
        <v>215</v>
      </c>
      <c r="K13" s="209" t="str">
        <f t="shared" si="0"/>
        <v>ADR</v>
      </c>
      <c r="L13" s="209" t="str">
        <f>IF(E13="","",IF(COUNTIFS(Table2[[#All],[De (Lote)]],'Input_APM (Zenith)'!F13)&gt;0,INDEX(Table2[[#All],[Para (Ticker Daniel)]],MATCH('Input_APM (Zenith)'!F13,Table2[[#All],[De (Lote)]],0)),'Input_APM (Zenith)'!F13))</f>
        <v>BABA</v>
      </c>
      <c r="M13" s="209" t="str">
        <f t="shared" si="1"/>
        <v>EQTY.IntlUS.off</v>
      </c>
      <c r="N13" s="210">
        <f t="shared" si="2"/>
        <v>215</v>
      </c>
      <c r="O13" s="210">
        <f t="shared" si="3"/>
        <v>215</v>
      </c>
    </row>
    <row r="14" spans="5:15">
      <c r="E14" s="208" t="s">
        <v>39</v>
      </c>
      <c r="F14" s="208" t="s">
        <v>2138</v>
      </c>
      <c r="G14" s="208" t="s">
        <v>282</v>
      </c>
      <c r="H14" s="208">
        <v>225</v>
      </c>
      <c r="I14" s="208">
        <v>225</v>
      </c>
      <c r="K14" s="209" t="str">
        <f t="shared" si="0"/>
        <v>ADR</v>
      </c>
      <c r="L14" s="209" t="str">
        <f>IF(E14="","",IF(COUNTIFS(Table2[[#All],[De (Lote)]],'Input_APM (Zenith)'!F14)&gt;0,INDEX(Table2[[#All],[Para (Ticker Daniel)]],MATCH('Input_APM (Zenith)'!F14,Table2[[#All],[De (Lote)]],0)),'Input_APM (Zenith)'!F14))</f>
        <v>BIDU</v>
      </c>
      <c r="M14" s="209" t="str">
        <f t="shared" si="1"/>
        <v>EQTY.IntlUS.off</v>
      </c>
      <c r="N14" s="210">
        <f t="shared" si="2"/>
        <v>225</v>
      </c>
      <c r="O14" s="210">
        <f t="shared" si="3"/>
        <v>225</v>
      </c>
    </row>
    <row r="15" spans="5:15">
      <c r="E15" s="208" t="s">
        <v>321</v>
      </c>
      <c r="F15" s="208" t="s">
        <v>295</v>
      </c>
      <c r="G15" s="208" t="s">
        <v>282</v>
      </c>
      <c r="H15" s="208">
        <v>0.05</v>
      </c>
      <c r="I15" s="208">
        <v>0.05</v>
      </c>
      <c r="K15" s="209" t="str">
        <f t="shared" si="0"/>
        <v>Cash</v>
      </c>
      <c r="L15" s="209" t="str">
        <f>IF(E15="","",IF(COUNTIFS(Table2[[#All],[De (Lote)]],'Input_APM (Zenith)'!F15)&gt;0,INDEX(Table2[[#All],[Para (Ticker Daniel)]],MATCH('Input_APM (Zenith)'!F15,Table2[[#All],[De (Lote)]],0)),'Input_APM (Zenith)'!F15))</f>
        <v>Cash CAD</v>
      </c>
      <c r="M15" s="209" t="str">
        <f t="shared" si="1"/>
        <v>EQTY.IntlUS.off</v>
      </c>
      <c r="N15" s="210">
        <f t="shared" si="2"/>
        <v>0.05</v>
      </c>
      <c r="O15" s="210">
        <f t="shared" si="3"/>
        <v>0.05</v>
      </c>
    </row>
    <row r="16" spans="5:15">
      <c r="E16" s="208" t="s">
        <v>321</v>
      </c>
      <c r="F16" s="208" t="s">
        <v>296</v>
      </c>
      <c r="G16" s="208" t="s">
        <v>283</v>
      </c>
      <c r="H16" s="208">
        <v>0.49</v>
      </c>
      <c r="I16" s="208">
        <v>0.49</v>
      </c>
      <c r="K16" s="209" t="str">
        <f t="shared" si="0"/>
        <v>Cash</v>
      </c>
      <c r="L16" s="209" t="str">
        <f>IF(E16="","",IF(COUNTIFS(Table2[[#All],[De (Lote)]],'Input_APM (Zenith)'!F16)&gt;0,INDEX(Table2[[#All],[Para (Ticker Daniel)]],MATCH('Input_APM (Zenith)'!F16,Table2[[#All],[De (Lote)]],0)),'Input_APM (Zenith)'!F16))</f>
        <v>Cash CHF</v>
      </c>
      <c r="M16" s="209" t="str">
        <f t="shared" si="1"/>
        <v>EQTY.InternacionalUS2.off</v>
      </c>
      <c r="N16" s="210">
        <f t="shared" si="2"/>
        <v>0.49</v>
      </c>
      <c r="O16" s="210">
        <f t="shared" si="3"/>
        <v>0.49</v>
      </c>
    </row>
    <row r="17" spans="5:15">
      <c r="E17" s="208" t="s">
        <v>321</v>
      </c>
      <c r="F17" s="208" t="s">
        <v>296</v>
      </c>
      <c r="G17" s="208" t="s">
        <v>282</v>
      </c>
      <c r="H17" s="208">
        <v>-2610.69</v>
      </c>
      <c r="I17" s="208">
        <v>-2610.69</v>
      </c>
      <c r="K17" s="209" t="str">
        <f t="shared" si="0"/>
        <v>Cash</v>
      </c>
      <c r="L17" s="209" t="str">
        <f>IF(E17="","",IF(COUNTIFS(Table2[[#All],[De (Lote)]],'Input_APM (Zenith)'!F17)&gt;0,INDEX(Table2[[#All],[Para (Ticker Daniel)]],MATCH('Input_APM (Zenith)'!F17,Table2[[#All],[De (Lote)]],0)),'Input_APM (Zenith)'!F17))</f>
        <v>Cash CHF</v>
      </c>
      <c r="M17" s="209" t="str">
        <f t="shared" si="1"/>
        <v>EQTY.IntlUS.off</v>
      </c>
      <c r="N17" s="210">
        <f t="shared" si="2"/>
        <v>-2610.69</v>
      </c>
      <c r="O17" s="210">
        <f t="shared" si="3"/>
        <v>-2610.69</v>
      </c>
    </row>
    <row r="18" spans="5:15">
      <c r="E18" s="208" t="s">
        <v>321</v>
      </c>
      <c r="F18" s="208" t="s">
        <v>297</v>
      </c>
      <c r="G18" s="208" t="s">
        <v>282</v>
      </c>
      <c r="H18" s="208">
        <v>0.16</v>
      </c>
      <c r="I18" s="208">
        <v>0.16</v>
      </c>
      <c r="K18" s="209" t="str">
        <f t="shared" si="0"/>
        <v>Cash</v>
      </c>
      <c r="L18" s="209" t="str">
        <f>IF(E18="","",IF(COUNTIFS(Table2[[#All],[De (Lote)]],'Input_APM (Zenith)'!F18)&gt;0,INDEX(Table2[[#All],[Para (Ticker Daniel)]],MATCH('Input_APM (Zenith)'!F18,Table2[[#All],[De (Lote)]],0)),'Input_APM (Zenith)'!F18))</f>
        <v>Cash CNH</v>
      </c>
      <c r="M18" s="209" t="str">
        <f t="shared" si="1"/>
        <v>EQTY.IntlUS.off</v>
      </c>
      <c r="N18" s="210">
        <f t="shared" si="2"/>
        <v>0.16</v>
      </c>
      <c r="O18" s="210">
        <f t="shared" si="3"/>
        <v>0.16</v>
      </c>
    </row>
    <row r="19" spans="5:15">
      <c r="E19" s="208" t="s">
        <v>321</v>
      </c>
      <c r="F19" s="208" t="s">
        <v>2123</v>
      </c>
      <c r="G19" s="208" t="s">
        <v>283</v>
      </c>
      <c r="H19" s="208">
        <v>-0.21</v>
      </c>
      <c r="I19" s="208">
        <v>-0.21</v>
      </c>
      <c r="K19" s="209" t="str">
        <f t="shared" si="0"/>
        <v>Cash</v>
      </c>
      <c r="L19" s="209" t="str">
        <f>IF(E19="","",IF(COUNTIFS(Table2[[#All],[De (Lote)]],'Input_APM (Zenith)'!F19)&gt;0,INDEX(Table2[[#All],[Para (Ticker Daniel)]],MATCH('Input_APM (Zenith)'!F19,Table2[[#All],[De (Lote)]],0)),'Input_APM (Zenith)'!F19))</f>
        <v>Cash CNY</v>
      </c>
      <c r="M19" s="209" t="str">
        <f t="shared" si="1"/>
        <v>EQTY.InternacionalUS2.off</v>
      </c>
      <c r="N19" s="210">
        <f t="shared" si="2"/>
        <v>-0.21</v>
      </c>
      <c r="O19" s="210">
        <f t="shared" si="3"/>
        <v>-0.21</v>
      </c>
    </row>
    <row r="20" spans="5:15">
      <c r="E20" s="208" t="s">
        <v>321</v>
      </c>
      <c r="F20" s="208" t="s">
        <v>2123</v>
      </c>
      <c r="G20" s="208" t="s">
        <v>282</v>
      </c>
      <c r="H20" s="208">
        <v>-10000.790000000001</v>
      </c>
      <c r="I20" s="208">
        <v>-10000.790000000001</v>
      </c>
      <c r="K20" s="209" t="str">
        <f t="shared" si="0"/>
        <v>Cash</v>
      </c>
      <c r="L20" s="209" t="str">
        <f>IF(E20="","",IF(COUNTIFS(Table2[[#All],[De (Lote)]],'Input_APM (Zenith)'!F20)&gt;0,INDEX(Table2[[#All],[Para (Ticker Daniel)]],MATCH('Input_APM (Zenith)'!F20,Table2[[#All],[De (Lote)]],0)),'Input_APM (Zenith)'!F20))</f>
        <v>Cash CNY</v>
      </c>
      <c r="M20" s="209" t="str">
        <f t="shared" si="1"/>
        <v>EQTY.IntlUS.off</v>
      </c>
      <c r="N20" s="210">
        <f t="shared" si="2"/>
        <v>-10000.790000000001</v>
      </c>
      <c r="O20" s="210">
        <f t="shared" si="3"/>
        <v>-10000.790000000001</v>
      </c>
    </row>
    <row r="21" spans="5:15">
      <c r="E21" s="208" t="s">
        <v>321</v>
      </c>
      <c r="F21" s="208" t="s">
        <v>298</v>
      </c>
      <c r="G21" s="208" t="s">
        <v>283</v>
      </c>
      <c r="H21" s="208">
        <v>0.47</v>
      </c>
      <c r="I21" s="208">
        <v>0.47</v>
      </c>
      <c r="K21" s="209" t="str">
        <f t="shared" si="0"/>
        <v>Cash</v>
      </c>
      <c r="L21" s="209" t="str">
        <f>IF(E21="","",IF(COUNTIFS(Table2[[#All],[De (Lote)]],'Input_APM (Zenith)'!F21)&gt;0,INDEX(Table2[[#All],[Para (Ticker Daniel)]],MATCH('Input_APM (Zenith)'!F21,Table2[[#All],[De (Lote)]],0)),'Input_APM (Zenith)'!F21))</f>
        <v>Cash EUR</v>
      </c>
      <c r="M21" s="209" t="str">
        <f t="shared" si="1"/>
        <v>EQTY.InternacionalUS2.off</v>
      </c>
      <c r="N21" s="210">
        <f t="shared" si="2"/>
        <v>0.47</v>
      </c>
      <c r="O21" s="210">
        <f t="shared" si="3"/>
        <v>0.47</v>
      </c>
    </row>
    <row r="22" spans="5:15">
      <c r="E22" s="208" t="s">
        <v>321</v>
      </c>
      <c r="F22" s="208" t="s">
        <v>298</v>
      </c>
      <c r="G22" s="208" t="s">
        <v>282</v>
      </c>
      <c r="H22" s="208">
        <v>3233.9</v>
      </c>
      <c r="I22" s="208">
        <v>3233.9</v>
      </c>
      <c r="K22" s="209" t="str">
        <f t="shared" si="0"/>
        <v>Cash</v>
      </c>
      <c r="L22" s="209" t="str">
        <f>IF(E22="","",IF(COUNTIFS(Table2[[#All],[De (Lote)]],'Input_APM (Zenith)'!F22)&gt;0,INDEX(Table2[[#All],[Para (Ticker Daniel)]],MATCH('Input_APM (Zenith)'!F22,Table2[[#All],[De (Lote)]],0)),'Input_APM (Zenith)'!F22))</f>
        <v>Cash EUR</v>
      </c>
      <c r="M22" s="209" t="str">
        <f t="shared" si="1"/>
        <v>EQTY.IntlUS.off</v>
      </c>
      <c r="N22" s="210">
        <f t="shared" si="2"/>
        <v>3233.9</v>
      </c>
      <c r="O22" s="210">
        <f t="shared" si="3"/>
        <v>3233.9</v>
      </c>
    </row>
    <row r="23" spans="5:15">
      <c r="E23" s="208" t="s">
        <v>321</v>
      </c>
      <c r="F23" s="208" t="s">
        <v>299</v>
      </c>
      <c r="G23" s="208" t="s">
        <v>282</v>
      </c>
      <c r="H23" s="208">
        <v>0.82</v>
      </c>
      <c r="I23" s="208">
        <v>0.82</v>
      </c>
      <c r="K23" s="209" t="str">
        <f t="shared" si="0"/>
        <v>Cash</v>
      </c>
      <c r="L23" s="209" t="str">
        <f>IF(E23="","",IF(COUNTIFS(Table2[[#All],[De (Lote)]],'Input_APM (Zenith)'!F23)&gt;0,INDEX(Table2[[#All],[Para (Ticker Daniel)]],MATCH('Input_APM (Zenith)'!F23,Table2[[#All],[De (Lote)]],0)),'Input_APM (Zenith)'!F23))</f>
        <v>Cash GBP</v>
      </c>
      <c r="M23" s="209" t="str">
        <f t="shared" si="1"/>
        <v>EQTY.IntlUS.off</v>
      </c>
      <c r="N23" s="210">
        <f t="shared" si="2"/>
        <v>0.82</v>
      </c>
      <c r="O23" s="210">
        <f t="shared" si="3"/>
        <v>0.82</v>
      </c>
    </row>
    <row r="24" spans="5:15">
      <c r="E24" s="208" t="s">
        <v>321</v>
      </c>
      <c r="F24" s="208" t="s">
        <v>300</v>
      </c>
      <c r="G24" s="208" t="s">
        <v>283</v>
      </c>
      <c r="H24" s="208">
        <v>-0.06</v>
      </c>
      <c r="I24" s="208">
        <v>-0.06</v>
      </c>
      <c r="K24" s="209" t="str">
        <f t="shared" si="0"/>
        <v>Cash</v>
      </c>
      <c r="L24" s="209" t="str">
        <f>IF(E24="","",IF(COUNTIFS(Table2[[#All],[De (Lote)]],'Input_APM (Zenith)'!F24)&gt;0,INDEX(Table2[[#All],[Para (Ticker Daniel)]],MATCH('Input_APM (Zenith)'!F24,Table2[[#All],[De (Lote)]],0)),'Input_APM (Zenith)'!F24))</f>
        <v>Cash HKD</v>
      </c>
      <c r="M24" s="209" t="str">
        <f t="shared" si="1"/>
        <v>EQTY.InternacionalUS2.off</v>
      </c>
      <c r="N24" s="210">
        <f t="shared" si="2"/>
        <v>-0.06</v>
      </c>
      <c r="O24" s="210">
        <f t="shared" si="3"/>
        <v>-0.06</v>
      </c>
    </row>
    <row r="25" spans="5:15">
      <c r="E25" s="208" t="s">
        <v>321</v>
      </c>
      <c r="F25" s="208" t="s">
        <v>300</v>
      </c>
      <c r="G25" s="208" t="s">
        <v>282</v>
      </c>
      <c r="H25" s="208">
        <v>-17957.060000000001</v>
      </c>
      <c r="I25" s="208">
        <v>-17957.060000000001</v>
      </c>
      <c r="K25" s="209" t="str">
        <f t="shared" si="0"/>
        <v>Cash</v>
      </c>
      <c r="L25" s="209" t="str">
        <f>IF(E25="","",IF(COUNTIFS(Table2[[#All],[De (Lote)]],'Input_APM (Zenith)'!F25)&gt;0,INDEX(Table2[[#All],[Para (Ticker Daniel)]],MATCH('Input_APM (Zenith)'!F25,Table2[[#All],[De (Lote)]],0)),'Input_APM (Zenith)'!F25))</f>
        <v>Cash HKD</v>
      </c>
      <c r="M25" s="209" t="str">
        <f t="shared" si="1"/>
        <v>EQTY.IntlUS.off</v>
      </c>
      <c r="N25" s="210">
        <f t="shared" si="2"/>
        <v>-17957.060000000001</v>
      </c>
      <c r="O25" s="210">
        <f t="shared" si="3"/>
        <v>-17957.060000000001</v>
      </c>
    </row>
    <row r="26" spans="5:15">
      <c r="E26" s="208" t="s">
        <v>321</v>
      </c>
      <c r="F26" s="208" t="s">
        <v>301</v>
      </c>
      <c r="G26" s="208" t="s">
        <v>282</v>
      </c>
      <c r="H26" s="208">
        <v>-0.01</v>
      </c>
      <c r="I26" s="208">
        <v>-0.01</v>
      </c>
      <c r="K26" s="209" t="str">
        <f t="shared" si="0"/>
        <v>Cash</v>
      </c>
      <c r="L26" s="209" t="str">
        <f>IF(E26="","",IF(COUNTIFS(Table2[[#All],[De (Lote)]],'Input_APM (Zenith)'!F26)&gt;0,INDEX(Table2[[#All],[Para (Ticker Daniel)]],MATCH('Input_APM (Zenith)'!F26,Table2[[#All],[De (Lote)]],0)),'Input_APM (Zenith)'!F26))</f>
        <v>Cash KRW</v>
      </c>
      <c r="M26" s="209" t="str">
        <f t="shared" si="1"/>
        <v>EQTY.IntlUS.off</v>
      </c>
      <c r="N26" s="210">
        <f t="shared" si="2"/>
        <v>-0.01</v>
      </c>
      <c r="O26" s="210">
        <f t="shared" si="3"/>
        <v>-0.01</v>
      </c>
    </row>
    <row r="27" spans="5:15">
      <c r="E27" s="208" t="s">
        <v>321</v>
      </c>
      <c r="F27" s="208" t="s">
        <v>302</v>
      </c>
      <c r="G27" s="208" t="s">
        <v>282</v>
      </c>
      <c r="H27" s="208">
        <v>413244.01385590999</v>
      </c>
      <c r="I27" s="208">
        <v>-719.99614409000003</v>
      </c>
      <c r="K27" s="209" t="str">
        <f t="shared" si="0"/>
        <v>Cash</v>
      </c>
      <c r="L27" s="209" t="str">
        <f>IF(E27="","",IF(COUNTIFS(Table2[[#All],[De (Lote)]],'Input_APM (Zenith)'!F27)&gt;0,INDEX(Table2[[#All],[Para (Ticker Daniel)]],MATCH('Input_APM (Zenith)'!F27,Table2[[#All],[De (Lote)]],0)),'Input_APM (Zenith)'!F27))</f>
        <v>Cash USD</v>
      </c>
      <c r="M27" s="209" t="str">
        <f t="shared" si="1"/>
        <v>EQTY.IntlUS.off</v>
      </c>
      <c r="N27" s="210">
        <f t="shared" si="2"/>
        <v>413244.01385590999</v>
      </c>
      <c r="O27" s="210">
        <f t="shared" si="3"/>
        <v>-719.99614409000003</v>
      </c>
    </row>
    <row r="28" spans="5:15">
      <c r="E28" s="208" t="s">
        <v>477</v>
      </c>
      <c r="F28" s="208" t="s">
        <v>1906</v>
      </c>
      <c r="G28" s="208" t="s">
        <v>282</v>
      </c>
      <c r="H28" s="208">
        <v>375000</v>
      </c>
      <c r="I28" s="208">
        <v>375000</v>
      </c>
      <c r="K28" s="209" t="str">
        <f t="shared" si="0"/>
        <v>CDS</v>
      </c>
      <c r="L28" s="209" t="str">
        <f>IF(E28="","",IF(COUNTIFS(Table2[[#All],[De (Lote)]],'Input_APM (Zenith)'!F28)&gt;0,INDEX(Table2[[#All],[Para (Ticker Daniel)]],MATCH('Input_APM (Zenith)'!F28,Table2[[#All],[De (Lote)]],0)),'Input_APM (Zenith)'!F28))</f>
        <v>CHINAGOV 12/20/30</v>
      </c>
      <c r="M28" s="209" t="str">
        <f t="shared" si="1"/>
        <v>EQTY.IntlUS.off</v>
      </c>
      <c r="N28" s="210">
        <f t="shared" si="2"/>
        <v>375000</v>
      </c>
      <c r="O28" s="210">
        <f t="shared" si="3"/>
        <v>375000</v>
      </c>
    </row>
    <row r="29" spans="5:15">
      <c r="E29" s="208" t="s">
        <v>317</v>
      </c>
      <c r="F29" s="208" t="s">
        <v>2344</v>
      </c>
      <c r="G29" s="208" t="s">
        <v>282</v>
      </c>
      <c r="H29" s="208">
        <v>1954</v>
      </c>
      <c r="I29" s="208">
        <v>1874</v>
      </c>
      <c r="K29" s="209" t="str">
        <f t="shared" si="0"/>
        <v>US Equity</v>
      </c>
      <c r="L29" s="209" t="str">
        <f>IF(E29="","",IF(COUNTIFS(Table2[[#All],[De (Lote)]],'Input_APM (Zenith)'!F29)&gt;0,INDEX(Table2[[#All],[Para (Ticker Daniel)]],MATCH('Input_APM (Zenith)'!F29,Table2[[#All],[De (Lote)]],0)),'Input_APM (Zenith)'!F29))</f>
        <v>CSCO</v>
      </c>
      <c r="M29" s="209" t="str">
        <f t="shared" si="1"/>
        <v>EQTY.IntlUS.off</v>
      </c>
      <c r="N29" s="210">
        <f t="shared" si="2"/>
        <v>1954</v>
      </c>
      <c r="O29" s="210">
        <f t="shared" si="3"/>
        <v>1874</v>
      </c>
    </row>
    <row r="30" spans="5:15">
      <c r="E30" s="208" t="s">
        <v>320</v>
      </c>
      <c r="F30" s="208" t="s">
        <v>1754</v>
      </c>
      <c r="G30" s="208" t="s">
        <v>282</v>
      </c>
      <c r="H30" s="208">
        <v>4052</v>
      </c>
      <c r="I30" s="208">
        <v>3005</v>
      </c>
      <c r="K30" s="209" t="str">
        <f t="shared" si="0"/>
        <v>ETF</v>
      </c>
      <c r="L30" s="209" t="str">
        <f>IF(E30="","",IF(COUNTIFS(Table2[[#All],[De (Lote)]],'Input_APM (Zenith)'!F30)&gt;0,INDEX(Table2[[#All],[Para (Ticker Daniel)]],MATCH('Input_APM (Zenith)'!F30,Table2[[#All],[De (Lote)]],0)),'Input_APM (Zenith)'!F30))</f>
        <v>EWY</v>
      </c>
      <c r="M30" s="209" t="str">
        <f t="shared" si="1"/>
        <v>EQTY.IntlUS.off</v>
      </c>
      <c r="N30" s="210">
        <f t="shared" si="2"/>
        <v>4052</v>
      </c>
      <c r="O30" s="210">
        <f t="shared" si="3"/>
        <v>3005</v>
      </c>
    </row>
    <row r="31" spans="5:15">
      <c r="E31" s="208" t="s">
        <v>320</v>
      </c>
      <c r="F31" s="208" t="s">
        <v>131</v>
      </c>
      <c r="G31" s="208" t="s">
        <v>282</v>
      </c>
      <c r="H31" s="208">
        <v>0</v>
      </c>
      <c r="I31" s="208">
        <v>1273</v>
      </c>
      <c r="K31" s="209" t="str">
        <f t="shared" si="0"/>
        <v>ETF</v>
      </c>
      <c r="L31" s="209" t="str">
        <f>IF(E31="","",IF(COUNTIFS(Table2[[#All],[De (Lote)]],'Input_APM (Zenith)'!F31)&gt;0,INDEX(Table2[[#All],[Para (Ticker Daniel)]],MATCH('Input_APM (Zenith)'!F31,Table2[[#All],[De (Lote)]],0)),'Input_APM (Zenith)'!F31))</f>
        <v xml:space="preserve">GDX </v>
      </c>
      <c r="M31" s="209" t="str">
        <f t="shared" si="1"/>
        <v>EQTY.IntlUS.off</v>
      </c>
      <c r="N31" s="210">
        <f t="shared" si="2"/>
        <v>0</v>
      </c>
      <c r="O31" s="210">
        <f t="shared" si="3"/>
        <v>1273</v>
      </c>
    </row>
    <row r="32" spans="5:15">
      <c r="E32" s="208" t="s">
        <v>324</v>
      </c>
      <c r="F32" s="208" t="s">
        <v>2259</v>
      </c>
      <c r="G32" s="208" t="s">
        <v>282</v>
      </c>
      <c r="H32" s="208">
        <v>53</v>
      </c>
      <c r="I32" s="208">
        <v>53</v>
      </c>
      <c r="K32" s="209" t="str">
        <f t="shared" si="0"/>
        <v>ETF Options</v>
      </c>
      <c r="L32" s="209" t="str">
        <f>IF(E32="","",IF(COUNTIFS(Table2[[#All],[De (Lote)]],'Input_APM (Zenith)'!F32)&gt;0,INDEX(Table2[[#All],[Para (Ticker Daniel)]],MATCH('Input_APM (Zenith)'!F32,Table2[[#All],[De (Lote)]],0)),'Input_APM (Zenith)'!F32))</f>
        <v>GDX US 09/18/26 C105</v>
      </c>
      <c r="M32" s="209" t="str">
        <f t="shared" si="1"/>
        <v>EQTY.IntlUS.off</v>
      </c>
      <c r="N32" s="210">
        <f t="shared" si="2"/>
        <v>53</v>
      </c>
      <c r="O32" s="210">
        <f t="shared" si="3"/>
        <v>53</v>
      </c>
    </row>
    <row r="33" spans="5:15">
      <c r="E33" s="208" t="s">
        <v>324</v>
      </c>
      <c r="F33" s="208" t="s">
        <v>2260</v>
      </c>
      <c r="G33" s="208" t="s">
        <v>282</v>
      </c>
      <c r="H33" s="208">
        <v>-53</v>
      </c>
      <c r="I33" s="208">
        <v>-53</v>
      </c>
      <c r="K33" s="209" t="str">
        <f t="shared" si="0"/>
        <v>ETF Options</v>
      </c>
      <c r="L33" s="209" t="str">
        <f>IF(E33="","",IF(COUNTIFS(Table2[[#All],[De (Lote)]],'Input_APM (Zenith)'!F33)&gt;0,INDEX(Table2[[#All],[Para (Ticker Daniel)]],MATCH('Input_APM (Zenith)'!F33,Table2[[#All],[De (Lote)]],0)),'Input_APM (Zenith)'!F33))</f>
        <v>GDX US 09/18/26 C115</v>
      </c>
      <c r="M33" s="209" t="str">
        <f t="shared" si="1"/>
        <v>EQTY.IntlUS.off</v>
      </c>
      <c r="N33" s="210">
        <f t="shared" si="2"/>
        <v>-53</v>
      </c>
      <c r="O33" s="210">
        <f t="shared" si="3"/>
        <v>-53</v>
      </c>
    </row>
    <row r="34" spans="5:15">
      <c r="E34" s="208" t="s">
        <v>317</v>
      </c>
      <c r="F34" s="208" t="s">
        <v>2145</v>
      </c>
      <c r="G34" s="208" t="s">
        <v>282</v>
      </c>
      <c r="H34" s="208">
        <v>906</v>
      </c>
      <c r="I34" s="208">
        <v>906</v>
      </c>
      <c r="K34" s="209" t="str">
        <f t="shared" si="0"/>
        <v>US Equity</v>
      </c>
      <c r="L34" s="209" t="str">
        <f>IF(E34="","",IF(COUNTIFS(Table2[[#All],[De (Lote)]],'Input_APM (Zenith)'!F34)&gt;0,INDEX(Table2[[#All],[Para (Ticker Daniel)]],MATCH('Input_APM (Zenith)'!F34,Table2[[#All],[De (Lote)]],0)),'Input_APM (Zenith)'!F34))</f>
        <v>GOOG</v>
      </c>
      <c r="M34" s="209" t="str">
        <f t="shared" si="1"/>
        <v>EQTY.IntlUS.off</v>
      </c>
      <c r="N34" s="210">
        <f t="shared" si="2"/>
        <v>906</v>
      </c>
      <c r="O34" s="210">
        <f t="shared" si="3"/>
        <v>906</v>
      </c>
    </row>
    <row r="35" spans="5:15">
      <c r="E35" s="208" t="s">
        <v>325</v>
      </c>
      <c r="F35" s="208" t="s">
        <v>1896</v>
      </c>
      <c r="G35" s="208" t="s">
        <v>282</v>
      </c>
      <c r="H35" s="208">
        <v>19314</v>
      </c>
      <c r="I35" s="208">
        <v>19314</v>
      </c>
      <c r="K35" s="209" t="str">
        <f t="shared" si="0"/>
        <v>Basket Index Options</v>
      </c>
      <c r="L35" s="209" t="str">
        <f>IF(E35="","",IF(COUNTIFS(Table2[[#All],[De (Lote)]],'Input_APM (Zenith)'!F35)&gt;0,INDEX(Table2[[#All],[Para (Ticker Daniel)]],MATCH('Input_APM (Zenith)'!F35,Table2[[#All],[De (Lote)]],0)),'Input_APM (Zenith)'!F35))</f>
        <v>GSC1000P 03/20/26 C104</v>
      </c>
      <c r="M35" s="209" t="str">
        <f t="shared" si="1"/>
        <v>EQTY.IntlUS.off</v>
      </c>
      <c r="N35" s="210">
        <f t="shared" si="2"/>
        <v>19314</v>
      </c>
      <c r="O35" s="210">
        <f t="shared" si="3"/>
        <v>19314</v>
      </c>
    </row>
    <row r="36" spans="5:15">
      <c r="E36" s="208" t="s">
        <v>325</v>
      </c>
      <c r="F36" s="208" t="s">
        <v>1897</v>
      </c>
      <c r="G36" s="208" t="s">
        <v>282</v>
      </c>
      <c r="H36" s="208">
        <v>-19314</v>
      </c>
      <c r="I36" s="208">
        <v>-19314</v>
      </c>
      <c r="K36" s="209" t="str">
        <f t="shared" si="0"/>
        <v>Basket Index Options</v>
      </c>
      <c r="L36" s="209" t="str">
        <f>IF(E36="","",IF(COUNTIFS(Table2[[#All],[De (Lote)]],'Input_APM (Zenith)'!F36)&gt;0,INDEX(Table2[[#All],[Para (Ticker Daniel)]],MATCH('Input_APM (Zenith)'!F36,Table2[[#All],[De (Lote)]],0)),'Input_APM (Zenith)'!F36))</f>
        <v>GSC1000P 03/20/26 C119</v>
      </c>
      <c r="M36" s="209" t="str">
        <f t="shared" si="1"/>
        <v>EQTY.IntlUS.off</v>
      </c>
      <c r="N36" s="210">
        <f t="shared" si="2"/>
        <v>-19314</v>
      </c>
      <c r="O36" s="210">
        <f t="shared" si="3"/>
        <v>-19314</v>
      </c>
    </row>
    <row r="37" spans="5:15">
      <c r="E37" s="208" t="s">
        <v>320</v>
      </c>
      <c r="F37" s="208" t="s">
        <v>89</v>
      </c>
      <c r="G37" s="208" t="s">
        <v>282</v>
      </c>
      <c r="H37" s="208">
        <v>-446</v>
      </c>
      <c r="I37" s="208">
        <v>-1580</v>
      </c>
      <c r="K37" s="209" t="str">
        <f t="shared" si="0"/>
        <v>ETF</v>
      </c>
      <c r="L37" s="209" t="str">
        <f>IF(E37="","",IF(COUNTIFS(Table2[[#All],[De (Lote)]],'Input_APM (Zenith)'!F37)&gt;0,INDEX(Table2[[#All],[Para (Ticker Daniel)]],MATCH('Input_APM (Zenith)'!F37,Table2[[#All],[De (Lote)]],0)),'Input_APM (Zenith)'!F37))</f>
        <v>IGV</v>
      </c>
      <c r="M37" s="209" t="str">
        <f t="shared" si="1"/>
        <v>EQTY.IntlUS.off</v>
      </c>
      <c r="N37" s="210">
        <f t="shared" si="2"/>
        <v>-446</v>
      </c>
      <c r="O37" s="210">
        <f t="shared" si="3"/>
        <v>-1580</v>
      </c>
    </row>
    <row r="38" spans="5:15">
      <c r="E38" s="208" t="s">
        <v>319</v>
      </c>
      <c r="F38" s="208" t="s">
        <v>2324</v>
      </c>
      <c r="G38" s="208" t="s">
        <v>282</v>
      </c>
      <c r="H38" s="208">
        <v>15</v>
      </c>
      <c r="I38" s="208">
        <v>15</v>
      </c>
      <c r="K38" s="209" t="str">
        <f t="shared" si="0"/>
        <v>US Equity Options</v>
      </c>
      <c r="L38" s="209" t="str">
        <f>IF(E38="","",IF(COUNTIFS(Table2[[#All],[De (Lote)]],'Input_APM (Zenith)'!F38)&gt;0,INDEX(Table2[[#All],[Para (Ticker Daniel)]],MATCH('Input_APM (Zenith)'!F38,Table2[[#All],[De (Lote)]],0)),'Input_APM (Zenith)'!F38))</f>
        <v>INTC US 07/17/26 C50</v>
      </c>
      <c r="M38" s="209" t="str">
        <f t="shared" si="1"/>
        <v>EQTY.IntlUS.off</v>
      </c>
      <c r="N38" s="210">
        <f t="shared" si="2"/>
        <v>15</v>
      </c>
      <c r="O38" s="210">
        <f t="shared" si="3"/>
        <v>15</v>
      </c>
    </row>
    <row r="39" spans="5:15">
      <c r="E39" s="208" t="s">
        <v>319</v>
      </c>
      <c r="F39" s="208" t="s">
        <v>2325</v>
      </c>
      <c r="G39" s="208" t="s">
        <v>282</v>
      </c>
      <c r="H39" s="208">
        <v>-9</v>
      </c>
      <c r="I39" s="208">
        <v>-9</v>
      </c>
      <c r="K39" s="209" t="str">
        <f t="shared" si="0"/>
        <v>US Equity Options</v>
      </c>
      <c r="L39" s="209" t="str">
        <f>IF(E39="","",IF(COUNTIFS(Table2[[#All],[De (Lote)]],'Input_APM (Zenith)'!F39)&gt;0,INDEX(Table2[[#All],[Para (Ticker Daniel)]],MATCH('Input_APM (Zenith)'!F39,Table2[[#All],[De (Lote)]],0)),'Input_APM (Zenith)'!F39))</f>
        <v>INTC US 07/17/26 C60</v>
      </c>
      <c r="M39" s="209" t="str">
        <f t="shared" si="1"/>
        <v>EQTY.IntlUS.off</v>
      </c>
      <c r="N39" s="210">
        <f t="shared" si="2"/>
        <v>-9</v>
      </c>
      <c r="O39" s="210">
        <f t="shared" si="3"/>
        <v>-9</v>
      </c>
    </row>
    <row r="40" spans="5:15">
      <c r="E40" s="208" t="s">
        <v>319</v>
      </c>
      <c r="F40" s="208" t="s">
        <v>2323</v>
      </c>
      <c r="G40" s="208" t="s">
        <v>282</v>
      </c>
      <c r="H40" s="208">
        <v>-9</v>
      </c>
      <c r="I40" s="208">
        <v>-9</v>
      </c>
      <c r="K40" s="209" t="str">
        <f t="shared" si="0"/>
        <v>US Equity Options</v>
      </c>
      <c r="L40" s="209" t="str">
        <f>IF(E40="","",IF(COUNTIFS(Table2[[#All],[De (Lote)]],'Input_APM (Zenith)'!F40)&gt;0,INDEX(Table2[[#All],[Para (Ticker Daniel)]],MATCH('Input_APM (Zenith)'!F40,Table2[[#All],[De (Lote)]],0)),'Input_APM (Zenith)'!F40))</f>
        <v>INTC US 07/17/26 P40</v>
      </c>
      <c r="M40" s="209" t="str">
        <f t="shared" si="1"/>
        <v>EQTY.IntlUS.off</v>
      </c>
      <c r="N40" s="210">
        <f t="shared" si="2"/>
        <v>-9</v>
      </c>
      <c r="O40" s="210">
        <f t="shared" si="3"/>
        <v>-9</v>
      </c>
    </row>
    <row r="41" spans="5:15">
      <c r="E41" s="208" t="s">
        <v>317</v>
      </c>
      <c r="F41" s="208" t="s">
        <v>2261</v>
      </c>
      <c r="G41" s="208" t="s">
        <v>282</v>
      </c>
      <c r="H41" s="208">
        <v>-718</v>
      </c>
      <c r="I41" s="208">
        <v>-718</v>
      </c>
      <c r="K41" s="209" t="str">
        <f t="shared" si="0"/>
        <v>US Equity</v>
      </c>
      <c r="L41" s="209" t="str">
        <f>IF(E41="","",IF(COUNTIFS(Table2[[#All],[De (Lote)]],'Input_APM (Zenith)'!F41)&gt;0,INDEX(Table2[[#All],[Para (Ticker Daniel)]],MATCH('Input_APM (Zenith)'!F41,Table2[[#All],[De (Lote)]],0)),'Input_APM (Zenith)'!F41))</f>
        <v>KHC</v>
      </c>
      <c r="M41" s="209" t="str">
        <f t="shared" si="1"/>
        <v>EQTY.IntlUS.off</v>
      </c>
      <c r="N41" s="210">
        <f t="shared" si="2"/>
        <v>-718</v>
      </c>
      <c r="O41" s="210">
        <f t="shared" si="3"/>
        <v>-718</v>
      </c>
    </row>
    <row r="42" spans="5:15">
      <c r="E42" s="208" t="s">
        <v>2321</v>
      </c>
      <c r="F42" s="208" t="s">
        <v>2298</v>
      </c>
      <c r="G42" s="208" t="s">
        <v>282</v>
      </c>
      <c r="H42" s="208">
        <v>685255</v>
      </c>
      <c r="I42" s="208">
        <v>685255</v>
      </c>
      <c r="K42" s="209" t="str">
        <f t="shared" si="0"/>
        <v>KOSPI 200 Index Options - KRX</v>
      </c>
      <c r="L42" s="209" t="str">
        <f>IF(E42="","",IF(COUNTIFS(Table2[[#All],[De (Lote)]],'Input_APM (Zenith)'!F42)&gt;0,INDEX(Table2[[#All],[Para (Ticker Daniel)]],MATCH('Input_APM (Zenith)'!F42,Table2[[#All],[De (Lote)]],0)),'Input_APM (Zenith)'!F42))</f>
        <v>KOSPI2 12/10/26 C1000</v>
      </c>
      <c r="M42" s="209" t="str">
        <f t="shared" si="1"/>
        <v>EQTY.IntlUS.off</v>
      </c>
      <c r="N42" s="210">
        <f t="shared" si="2"/>
        <v>685255</v>
      </c>
      <c r="O42" s="210">
        <f t="shared" si="3"/>
        <v>685255</v>
      </c>
    </row>
    <row r="43" spans="5:15">
      <c r="E43" s="208" t="s">
        <v>317</v>
      </c>
      <c r="F43" s="208" t="s">
        <v>2063</v>
      </c>
      <c r="G43" s="208" t="s">
        <v>282</v>
      </c>
      <c r="H43" s="208">
        <v>0</v>
      </c>
      <c r="I43" s="208">
        <v>59</v>
      </c>
      <c r="K43" s="209" t="str">
        <f t="shared" si="0"/>
        <v>US Equity</v>
      </c>
      <c r="L43" s="209" t="str">
        <f>IF(E43="","",IF(COUNTIFS(Table2[[#All],[De (Lote)]],'Input_APM (Zenith)'!F43)&gt;0,INDEX(Table2[[#All],[Para (Ticker Daniel)]],MATCH('Input_APM (Zenith)'!F43,Table2[[#All],[De (Lote)]],0)),'Input_APM (Zenith)'!F43))</f>
        <v>LITE</v>
      </c>
      <c r="M43" s="209" t="str">
        <f t="shared" si="1"/>
        <v>EQTY.IntlUS.off</v>
      </c>
      <c r="N43" s="210">
        <f t="shared" si="2"/>
        <v>0</v>
      </c>
      <c r="O43" s="210">
        <f t="shared" si="3"/>
        <v>59</v>
      </c>
    </row>
    <row r="44" spans="5:15">
      <c r="E44" s="208" t="s">
        <v>319</v>
      </c>
      <c r="F44" s="208" t="s">
        <v>2282</v>
      </c>
      <c r="G44" s="208" t="s">
        <v>282</v>
      </c>
      <c r="H44" s="208">
        <v>4</v>
      </c>
      <c r="I44" s="208">
        <v>4</v>
      </c>
      <c r="K44" s="209" t="str">
        <f t="shared" si="0"/>
        <v>US Equity Options</v>
      </c>
      <c r="L44" s="209" t="str">
        <f>IF(E44="","",IF(COUNTIFS(Table2[[#All],[De (Lote)]],'Input_APM (Zenith)'!F44)&gt;0,INDEX(Table2[[#All],[Para (Ticker Daniel)]],MATCH('Input_APM (Zenith)'!F44,Table2[[#All],[De (Lote)]],0)),'Input_APM (Zenith)'!F44))</f>
        <v>LITE US 03/20/26 C420</v>
      </c>
      <c r="M44" s="209" t="str">
        <f t="shared" si="1"/>
        <v>EQTY.IntlUS.off</v>
      </c>
      <c r="N44" s="210">
        <f t="shared" si="2"/>
        <v>4</v>
      </c>
      <c r="O44" s="210">
        <f t="shared" si="3"/>
        <v>4</v>
      </c>
    </row>
    <row r="45" spans="5:15">
      <c r="E45" s="208" t="s">
        <v>464</v>
      </c>
      <c r="F45" s="208" t="s">
        <v>2400</v>
      </c>
      <c r="G45" s="208" t="s">
        <v>282</v>
      </c>
      <c r="H45" s="208">
        <v>-628000</v>
      </c>
      <c r="I45" s="208">
        <v>-628000</v>
      </c>
      <c r="K45" s="209" t="str">
        <f t="shared" si="0"/>
        <v>Global Bonds</v>
      </c>
      <c r="L45" s="209" t="str">
        <f>IF(E45="","",IF(COUNTIFS(Table2[[#All],[De (Lote)]],'Input_APM (Zenith)'!F45)&gt;0,INDEX(Table2[[#All],[Para (Ticker Daniel)]],MATCH('Input_APM (Zenith)'!F45,Table2[[#All],[De (Lote)]],0)),'Input_APM (Zenith)'!F45))</f>
        <v>META 4.875% 11/15/35</v>
      </c>
      <c r="M45" s="209" t="str">
        <f t="shared" si="1"/>
        <v>EQTY.IntlUS.off</v>
      </c>
      <c r="N45" s="210">
        <f t="shared" si="2"/>
        <v>-628000</v>
      </c>
      <c r="O45" s="210">
        <f t="shared" si="3"/>
        <v>-628000</v>
      </c>
    </row>
    <row r="46" spans="5:15">
      <c r="E46" s="208" t="s">
        <v>317</v>
      </c>
      <c r="F46" s="208" t="s">
        <v>326</v>
      </c>
      <c r="G46" s="208" t="s">
        <v>282</v>
      </c>
      <c r="H46" s="208">
        <v>347</v>
      </c>
      <c r="I46" s="208">
        <v>347</v>
      </c>
      <c r="K46" s="209" t="str">
        <f t="shared" si="0"/>
        <v>US Equity</v>
      </c>
      <c r="L46" s="209" t="str">
        <f>IF(E46="","",IF(COUNTIFS(Table2[[#All],[De (Lote)]],'Input_APM (Zenith)'!F46)&gt;0,INDEX(Table2[[#All],[Para (Ticker Daniel)]],MATCH('Input_APM (Zenith)'!F46,Table2[[#All],[De (Lote)]],0)),'Input_APM (Zenith)'!F46))</f>
        <v>META</v>
      </c>
      <c r="M46" s="209" t="str">
        <f t="shared" si="1"/>
        <v>EQTY.IntlUS.off</v>
      </c>
      <c r="N46" s="210">
        <f t="shared" si="2"/>
        <v>347</v>
      </c>
      <c r="O46" s="210">
        <f t="shared" si="3"/>
        <v>347</v>
      </c>
    </row>
    <row r="47" spans="5:15">
      <c r="E47" s="208" t="s">
        <v>319</v>
      </c>
      <c r="F47" s="208" t="s">
        <v>2398</v>
      </c>
      <c r="G47" s="208" t="s">
        <v>282</v>
      </c>
      <c r="H47" s="208">
        <v>0</v>
      </c>
      <c r="I47" s="208">
        <v>5</v>
      </c>
      <c r="K47" s="209" t="str">
        <f t="shared" si="0"/>
        <v>US Equity Options</v>
      </c>
      <c r="L47" s="209" t="str">
        <f>IF(E47="","",IF(COUNTIFS(Table2[[#All],[De (Lote)]],'Input_APM (Zenith)'!F47)&gt;0,INDEX(Table2[[#All],[Para (Ticker Daniel)]],MATCH('Input_APM (Zenith)'!F47,Table2[[#All],[De (Lote)]],0)),'Input_APM (Zenith)'!F47))</f>
        <v>META US 07/17/26 C700</v>
      </c>
      <c r="M47" s="209" t="str">
        <f t="shared" si="1"/>
        <v>EQTY.IntlUS.off</v>
      </c>
      <c r="N47" s="210">
        <f t="shared" si="2"/>
        <v>0</v>
      </c>
      <c r="O47" s="210">
        <f t="shared" si="3"/>
        <v>5</v>
      </c>
    </row>
    <row r="48" spans="5:15">
      <c r="E48" s="208" t="s">
        <v>319</v>
      </c>
      <c r="F48" s="208" t="s">
        <v>2444</v>
      </c>
      <c r="G48" s="208" t="s">
        <v>282</v>
      </c>
      <c r="H48" s="208">
        <v>7</v>
      </c>
      <c r="I48" s="208">
        <v>2</v>
      </c>
      <c r="K48" s="209" t="str">
        <f t="shared" si="0"/>
        <v>US Equity Options</v>
      </c>
      <c r="L48" s="209" t="str">
        <f>IF(E48="","",IF(COUNTIFS(Table2[[#All],[De (Lote)]],'Input_APM (Zenith)'!F48)&gt;0,INDEX(Table2[[#All],[Para (Ticker Daniel)]],MATCH('Input_APM (Zenith)'!F48,Table2[[#All],[De (Lote)]],0)),'Input_APM (Zenith)'!F48))</f>
        <v>META US 07/17/26 C750</v>
      </c>
      <c r="M48" s="209" t="str">
        <f t="shared" si="1"/>
        <v>EQTY.IntlUS.off</v>
      </c>
      <c r="N48" s="210">
        <f t="shared" si="2"/>
        <v>7</v>
      </c>
      <c r="O48" s="210">
        <f t="shared" si="3"/>
        <v>2</v>
      </c>
    </row>
    <row r="49" spans="5:15">
      <c r="E49" s="208" t="s">
        <v>317</v>
      </c>
      <c r="F49" s="208" t="s">
        <v>138</v>
      </c>
      <c r="G49" s="208" t="s">
        <v>282</v>
      </c>
      <c r="H49" s="208">
        <v>180</v>
      </c>
      <c r="I49" s="208">
        <v>180</v>
      </c>
      <c r="K49" s="209" t="str">
        <f t="shared" si="0"/>
        <v>US Equity</v>
      </c>
      <c r="L49" s="209" t="str">
        <f>IF(E49="","",IF(COUNTIFS(Table2[[#All],[De (Lote)]],'Input_APM (Zenith)'!F49)&gt;0,INDEX(Table2[[#All],[Para (Ticker Daniel)]],MATCH('Input_APM (Zenith)'!F49,Table2[[#All],[De (Lote)]],0)),'Input_APM (Zenith)'!F49))</f>
        <v>MRVL</v>
      </c>
      <c r="M49" s="209" t="str">
        <f t="shared" si="1"/>
        <v>EQTY.IntlUS.off</v>
      </c>
      <c r="N49" s="210">
        <f t="shared" si="2"/>
        <v>180</v>
      </c>
      <c r="O49" s="210">
        <f t="shared" si="3"/>
        <v>180</v>
      </c>
    </row>
    <row r="50" spans="5:15">
      <c r="E50" s="208" t="s">
        <v>319</v>
      </c>
      <c r="F50" s="208" t="s">
        <v>2270</v>
      </c>
      <c r="G50" s="208" t="s">
        <v>282</v>
      </c>
      <c r="H50" s="208">
        <v>-9</v>
      </c>
      <c r="I50" s="208">
        <v>-9</v>
      </c>
      <c r="K50" s="209" t="str">
        <f t="shared" si="0"/>
        <v>US Equity Options</v>
      </c>
      <c r="L50" s="209" t="str">
        <f>IF(E50="","",IF(COUNTIFS(Table2[[#All],[De (Lote)]],'Input_APM (Zenith)'!F50)&gt;0,INDEX(Table2[[#All],[Para (Ticker Daniel)]],MATCH('Input_APM (Zenith)'!F50,Table2[[#All],[De (Lote)]],0)),'Input_APM (Zenith)'!F50))</f>
        <v>MRVL US 03/20/26 P70</v>
      </c>
      <c r="M50" s="209" t="str">
        <f t="shared" si="1"/>
        <v>EQTY.IntlUS.off</v>
      </c>
      <c r="N50" s="210">
        <f t="shared" si="2"/>
        <v>-9</v>
      </c>
      <c r="O50" s="210">
        <f t="shared" si="3"/>
        <v>-9</v>
      </c>
    </row>
    <row r="51" spans="5:15">
      <c r="E51" s="208" t="s">
        <v>319</v>
      </c>
      <c r="F51" s="208" t="s">
        <v>2095</v>
      </c>
      <c r="G51" s="208" t="s">
        <v>282</v>
      </c>
      <c r="H51" s="208">
        <v>-12</v>
      </c>
      <c r="I51" s="208">
        <v>-12</v>
      </c>
      <c r="K51" s="209" t="str">
        <f t="shared" si="0"/>
        <v>US Equity Options</v>
      </c>
      <c r="L51" s="209" t="str">
        <f>IF(E51="","",IF(COUNTIFS(Table2[[#All],[De (Lote)]],'Input_APM (Zenith)'!F51)&gt;0,INDEX(Table2[[#All],[Para (Ticker Daniel)]],MATCH('Input_APM (Zenith)'!F51,Table2[[#All],[De (Lote)]],0)),'Input_APM (Zenith)'!F51))</f>
        <v>MRVL US 03/20/26 P75</v>
      </c>
      <c r="M51" s="209" t="str">
        <f t="shared" si="1"/>
        <v>EQTY.IntlUS.off</v>
      </c>
      <c r="N51" s="210">
        <f t="shared" si="2"/>
        <v>-12</v>
      </c>
      <c r="O51" s="210">
        <f t="shared" si="3"/>
        <v>-12</v>
      </c>
    </row>
    <row r="52" spans="5:15">
      <c r="E52" s="208" t="s">
        <v>319</v>
      </c>
      <c r="F52" s="208" t="s">
        <v>2058</v>
      </c>
      <c r="G52" s="208" t="s">
        <v>282</v>
      </c>
      <c r="H52" s="208">
        <v>9</v>
      </c>
      <c r="I52" s="208">
        <v>9</v>
      </c>
      <c r="K52" s="209" t="str">
        <f t="shared" si="0"/>
        <v>US Equity Options</v>
      </c>
      <c r="L52" s="209" t="str">
        <f>IF(E52="","",IF(COUNTIFS(Table2[[#All],[De (Lote)]],'Input_APM (Zenith)'!F52)&gt;0,INDEX(Table2[[#All],[Para (Ticker Daniel)]],MATCH('Input_APM (Zenith)'!F52,Table2[[#All],[De (Lote)]],0)),'Input_APM (Zenith)'!F52))</f>
        <v>MRVL US 03/20/26 P80</v>
      </c>
      <c r="M52" s="209" t="str">
        <f t="shared" si="1"/>
        <v>EQTY.IntlUS.off</v>
      </c>
      <c r="N52" s="210">
        <f t="shared" si="2"/>
        <v>9</v>
      </c>
      <c r="O52" s="210">
        <f t="shared" si="3"/>
        <v>9</v>
      </c>
    </row>
    <row r="53" spans="5:15">
      <c r="E53" s="208" t="s">
        <v>319</v>
      </c>
      <c r="F53" s="208" t="s">
        <v>2094</v>
      </c>
      <c r="G53" s="208" t="s">
        <v>282</v>
      </c>
      <c r="H53" s="208">
        <v>14</v>
      </c>
      <c r="I53" s="208">
        <v>14</v>
      </c>
      <c r="K53" s="209" t="str">
        <f t="shared" si="0"/>
        <v>US Equity Options</v>
      </c>
      <c r="L53" s="209" t="str">
        <f>IF(E53="","",IF(COUNTIFS(Table2[[#All],[De (Lote)]],'Input_APM (Zenith)'!F53)&gt;0,INDEX(Table2[[#All],[Para (Ticker Daniel)]],MATCH('Input_APM (Zenith)'!F53,Table2[[#All],[De (Lote)]],0)),'Input_APM (Zenith)'!F53))</f>
        <v>MRVL US 03/20/26 P85</v>
      </c>
      <c r="M53" s="209" t="str">
        <f t="shared" si="1"/>
        <v>EQTY.IntlUS.off</v>
      </c>
      <c r="N53" s="210">
        <f t="shared" si="2"/>
        <v>14</v>
      </c>
      <c r="O53" s="210">
        <f t="shared" si="3"/>
        <v>14</v>
      </c>
    </row>
    <row r="54" spans="5:15">
      <c r="E54" s="208" t="s">
        <v>317</v>
      </c>
      <c r="F54" s="208" t="s">
        <v>90</v>
      </c>
      <c r="G54" s="208" t="s">
        <v>282</v>
      </c>
      <c r="H54" s="208">
        <v>270</v>
      </c>
      <c r="I54" s="208">
        <v>270</v>
      </c>
      <c r="K54" s="209" t="str">
        <f t="shared" si="0"/>
        <v>US Equity</v>
      </c>
      <c r="L54" s="209" t="str">
        <f>IF(E54="","",IF(COUNTIFS(Table2[[#All],[De (Lote)]],'Input_APM (Zenith)'!F54)&gt;0,INDEX(Table2[[#All],[Para (Ticker Daniel)]],MATCH('Input_APM (Zenith)'!F54,Table2[[#All],[De (Lote)]],0)),'Input_APM (Zenith)'!F54))</f>
        <v>MSFT</v>
      </c>
      <c r="M54" s="209" t="str">
        <f t="shared" si="1"/>
        <v>EQTY.IntlUS.off</v>
      </c>
      <c r="N54" s="210">
        <f t="shared" si="2"/>
        <v>270</v>
      </c>
      <c r="O54" s="210">
        <f t="shared" si="3"/>
        <v>270</v>
      </c>
    </row>
    <row r="55" spans="5:15">
      <c r="E55" s="208" t="s">
        <v>2452</v>
      </c>
      <c r="F55" s="208" t="s">
        <v>2453</v>
      </c>
      <c r="G55" s="208" t="s">
        <v>282</v>
      </c>
      <c r="H55" s="208">
        <v>0</v>
      </c>
      <c r="I55" s="208">
        <v>-1</v>
      </c>
      <c r="K55" s="209" t="str">
        <f t="shared" si="0"/>
        <v>NASDAQ-100 E-mini Futures - CME</v>
      </c>
      <c r="L55" s="209" t="str">
        <f>IF(E55="","",IF(COUNTIFS(Table2[[#All],[De (Lote)]],'Input_APM (Zenith)'!F55)&gt;0,INDEX(Table2[[#All],[Para (Ticker Daniel)]],MATCH('Input_APM (Zenith)'!F55,Table2[[#All],[De (Lote)]],0)),'Input_APM (Zenith)'!F55))</f>
        <v>NQH6</v>
      </c>
      <c r="M55" s="209" t="str">
        <f t="shared" si="1"/>
        <v>EQTY.IntlUS.off</v>
      </c>
      <c r="N55" s="210">
        <f t="shared" si="2"/>
        <v>0</v>
      </c>
      <c r="O55" s="210">
        <f t="shared" si="3"/>
        <v>-1</v>
      </c>
    </row>
    <row r="56" spans="5:15">
      <c r="E56" s="208" t="s">
        <v>317</v>
      </c>
      <c r="F56" s="208" t="s">
        <v>94</v>
      </c>
      <c r="G56" s="208" t="s">
        <v>282</v>
      </c>
      <c r="H56" s="208">
        <v>1305</v>
      </c>
      <c r="I56" s="208">
        <v>1305</v>
      </c>
      <c r="K56" s="209" t="str">
        <f t="shared" si="0"/>
        <v>US Equity</v>
      </c>
      <c r="L56" s="209" t="str">
        <f>IF(E56="","",IF(COUNTIFS(Table2[[#All],[De (Lote)]],'Input_APM (Zenith)'!F56)&gt;0,INDEX(Table2[[#All],[Para (Ticker Daniel)]],MATCH('Input_APM (Zenith)'!F56,Table2[[#All],[De (Lote)]],0)),'Input_APM (Zenith)'!F56))</f>
        <v>NVDA</v>
      </c>
      <c r="M56" s="209" t="str">
        <f t="shared" si="1"/>
        <v>EQTY.IntlUS.off</v>
      </c>
      <c r="N56" s="210">
        <f t="shared" si="2"/>
        <v>1305</v>
      </c>
      <c r="O56" s="210">
        <f t="shared" si="3"/>
        <v>1305</v>
      </c>
    </row>
    <row r="57" spans="5:15">
      <c r="E57" s="208" t="s">
        <v>319</v>
      </c>
      <c r="F57" s="208" t="s">
        <v>2384</v>
      </c>
      <c r="G57" s="208" t="s">
        <v>282</v>
      </c>
      <c r="H57" s="208">
        <v>8</v>
      </c>
      <c r="I57" s="208">
        <v>8</v>
      </c>
      <c r="K57" s="209" t="str">
        <f t="shared" si="0"/>
        <v>US Equity Options</v>
      </c>
      <c r="L57" s="209" t="str">
        <f>IF(E57="","",IF(COUNTIFS(Table2[[#All],[De (Lote)]],'Input_APM (Zenith)'!F57)&gt;0,INDEX(Table2[[#All],[Para (Ticker Daniel)]],MATCH('Input_APM (Zenith)'!F57,Table2[[#All],[De (Lote)]],0)),'Input_APM (Zenith)'!F57))</f>
        <v>NVDA US 05/15/26 C200</v>
      </c>
      <c r="M57" s="209" t="str">
        <f t="shared" si="1"/>
        <v>EQTY.IntlUS.off</v>
      </c>
      <c r="N57" s="210">
        <f t="shared" si="2"/>
        <v>8</v>
      </c>
      <c r="O57" s="210">
        <f t="shared" si="3"/>
        <v>8</v>
      </c>
    </row>
    <row r="58" spans="5:15">
      <c r="E58" s="208" t="s">
        <v>318</v>
      </c>
      <c r="F58" s="208" t="s">
        <v>2476</v>
      </c>
      <c r="G58" s="208" t="s">
        <v>282</v>
      </c>
      <c r="H58" s="208">
        <v>-9070</v>
      </c>
      <c r="I58" s="208">
        <v>0</v>
      </c>
      <c r="K58" s="209" t="str">
        <f t="shared" si="0"/>
        <v>Provisions and Costs</v>
      </c>
      <c r="L58" s="209" t="str">
        <f>IF(E58="","",IF(COUNTIFS(Table2[[#All],[De (Lote)]],'Input_APM (Zenith)'!F58)&gt;0,INDEX(Table2[[#All],[Para (Ticker Daniel)]],MATCH('Input_APM (Zenith)'!F58,Table2[[#All],[De (Lote)]],0)),'Input_APM (Zenith)'!F58))</f>
        <v>Provision CME USD_</v>
      </c>
      <c r="M58" s="209" t="str">
        <f t="shared" si="1"/>
        <v>EQTY.IntlUS.off</v>
      </c>
      <c r="N58" s="210">
        <f t="shared" si="2"/>
        <v>-9070</v>
      </c>
      <c r="O58" s="210">
        <f t="shared" si="3"/>
        <v>0</v>
      </c>
    </row>
    <row r="59" spans="5:15">
      <c r="E59" s="208" t="s">
        <v>318</v>
      </c>
      <c r="F59" s="208" t="s">
        <v>2401</v>
      </c>
      <c r="G59" s="208" t="s">
        <v>282</v>
      </c>
      <c r="H59" s="208">
        <v>0</v>
      </c>
      <c r="I59" s="208">
        <v>7486.31</v>
      </c>
      <c r="K59" s="209" t="str">
        <f t="shared" si="0"/>
        <v>Provisions and Costs</v>
      </c>
      <c r="L59" s="209" t="str">
        <f>IF(E59="","",IF(COUNTIFS(Table2[[#All],[De (Lote)]],'Input_APM (Zenith)'!F59)&gt;0,INDEX(Table2[[#All],[Para (Ticker Daniel)]],MATCH('Input_APM (Zenith)'!F59,Table2[[#All],[De (Lote)]],0)),'Input_APM (Zenith)'!F59))</f>
        <v>Provision Equity Total Return Swap USD_</v>
      </c>
      <c r="M59" s="209" t="str">
        <f t="shared" si="1"/>
        <v>EQTY.IntlUS.off</v>
      </c>
      <c r="N59" s="210">
        <f t="shared" si="2"/>
        <v>0</v>
      </c>
      <c r="O59" s="210">
        <f t="shared" si="3"/>
        <v>7486.31</v>
      </c>
    </row>
    <row r="60" spans="5:15">
      <c r="E60" s="208" t="s">
        <v>318</v>
      </c>
      <c r="F60" s="208" t="s">
        <v>336</v>
      </c>
      <c r="G60" s="208" t="s">
        <v>282</v>
      </c>
      <c r="H60" s="208">
        <v>-1372</v>
      </c>
      <c r="I60" s="208">
        <v>3739</v>
      </c>
      <c r="K60" s="209" t="str">
        <f t="shared" si="0"/>
        <v>Provisions and Costs</v>
      </c>
      <c r="L60" s="209" t="str">
        <f>IF(E60="","",IF(COUNTIFS(Table2[[#All],[De (Lote)]],'Input_APM (Zenith)'!F60)&gt;0,INDEX(Table2[[#All],[Para (Ticker Daniel)]],MATCH('Input_APM (Zenith)'!F60,Table2[[#All],[De (Lote)]],0)),'Input_APM (Zenith)'!F60))</f>
        <v>Provision ETF Options USD_</v>
      </c>
      <c r="M60" s="209" t="str">
        <f t="shared" si="1"/>
        <v>EQTY.IntlUS.off</v>
      </c>
      <c r="N60" s="210">
        <f t="shared" si="2"/>
        <v>-1372</v>
      </c>
      <c r="O60" s="210">
        <f t="shared" si="3"/>
        <v>3739</v>
      </c>
    </row>
    <row r="61" spans="5:15">
      <c r="E61" s="208" t="s">
        <v>318</v>
      </c>
      <c r="F61" s="208" t="s">
        <v>306</v>
      </c>
      <c r="G61" s="208" t="s">
        <v>282</v>
      </c>
      <c r="H61" s="208">
        <v>-689448.04</v>
      </c>
      <c r="I61" s="208">
        <v>407234.58</v>
      </c>
      <c r="K61" s="209" t="str">
        <f t="shared" si="0"/>
        <v>Provisions and Costs</v>
      </c>
      <c r="L61" s="209" t="str">
        <f>IF(E61="","",IF(COUNTIFS(Table2[[#All],[De (Lote)]],'Input_APM (Zenith)'!F61)&gt;0,INDEX(Table2[[#All],[Para (Ticker Daniel)]],MATCH('Input_APM (Zenith)'!F61,Table2[[#All],[De (Lote)]],0)),'Input_APM (Zenith)'!F61))</f>
        <v>Provision ETF USD_</v>
      </c>
      <c r="M61" s="209" t="str">
        <f t="shared" si="1"/>
        <v>EQTY.IntlUS.off</v>
      </c>
      <c r="N61" s="210">
        <f t="shared" si="2"/>
        <v>-689448.04</v>
      </c>
      <c r="O61" s="210">
        <f t="shared" si="3"/>
        <v>407234.58</v>
      </c>
    </row>
    <row r="62" spans="5:15">
      <c r="E62" s="208" t="s">
        <v>318</v>
      </c>
      <c r="F62" s="208" t="s">
        <v>1666</v>
      </c>
      <c r="G62" s="208" t="s">
        <v>282</v>
      </c>
      <c r="H62" s="208">
        <v>92369.04</v>
      </c>
      <c r="I62" s="208">
        <v>-11545</v>
      </c>
      <c r="K62" s="209" t="str">
        <f t="shared" si="0"/>
        <v>Provisions and Costs</v>
      </c>
      <c r="L62" s="209" t="str">
        <f>IF(E62="","",IF(COUNTIFS(Table2[[#All],[De (Lote)]],'Input_APM (Zenith)'!F62)&gt;0,INDEX(Table2[[#All],[Para (Ticker Daniel)]],MATCH('Input_APM (Zenith)'!F62,Table2[[#All],[De (Lote)]],0)),'Input_APM (Zenith)'!F62))</f>
        <v>Provision NYSE USD_</v>
      </c>
      <c r="M62" s="209" t="str">
        <f t="shared" si="1"/>
        <v>EQTY.IntlUS.off</v>
      </c>
      <c r="N62" s="210">
        <f t="shared" si="2"/>
        <v>92369.04</v>
      </c>
      <c r="O62" s="210">
        <f t="shared" si="3"/>
        <v>-11545</v>
      </c>
    </row>
    <row r="63" spans="5:15">
      <c r="E63" s="208" t="s">
        <v>318</v>
      </c>
      <c r="F63" s="208" t="s">
        <v>337</v>
      </c>
      <c r="G63" s="208" t="s">
        <v>282</v>
      </c>
      <c r="H63" s="208">
        <v>12000</v>
      </c>
      <c r="I63" s="208">
        <v>-8302</v>
      </c>
      <c r="K63" s="209" t="str">
        <f t="shared" si="0"/>
        <v>Provisions and Costs</v>
      </c>
      <c r="L63" s="209" t="str">
        <f>IF(E63="","",IF(COUNTIFS(Table2[[#All],[De (Lote)]],'Input_APM (Zenith)'!F63)&gt;0,INDEX(Table2[[#All],[Para (Ticker Daniel)]],MATCH('Input_APM (Zenith)'!F63,Table2[[#All],[De (Lote)]],0)),'Input_APM (Zenith)'!F63))</f>
        <v>Provision US Equity Options USD_</v>
      </c>
      <c r="M63" s="209" t="str">
        <f t="shared" si="1"/>
        <v>EQTY.IntlUS.off</v>
      </c>
      <c r="N63" s="210">
        <f t="shared" si="2"/>
        <v>12000</v>
      </c>
      <c r="O63" s="210">
        <f t="shared" si="3"/>
        <v>-8302</v>
      </c>
    </row>
    <row r="64" spans="5:15">
      <c r="E64" s="208" t="s">
        <v>318</v>
      </c>
      <c r="F64" s="208" t="s">
        <v>307</v>
      </c>
      <c r="G64" s="208" t="s">
        <v>282</v>
      </c>
      <c r="H64" s="208">
        <v>23599.51</v>
      </c>
      <c r="I64" s="208">
        <v>15351.12</v>
      </c>
      <c r="K64" s="209" t="str">
        <f t="shared" si="0"/>
        <v>Provisions and Costs</v>
      </c>
      <c r="L64" s="209" t="str">
        <f>IF(E64="","",IF(COUNTIFS(Table2[[#All],[De (Lote)]],'Input_APM (Zenith)'!F64)&gt;0,INDEX(Table2[[#All],[Para (Ticker Daniel)]],MATCH('Input_APM (Zenith)'!F64,Table2[[#All],[De (Lote)]],0)),'Input_APM (Zenith)'!F64))</f>
        <v>Provision US Equity USD_</v>
      </c>
      <c r="M64" s="209" t="str">
        <f t="shared" si="1"/>
        <v>EQTY.IntlUS.off</v>
      </c>
      <c r="N64" s="210">
        <f t="shared" si="2"/>
        <v>23599.51</v>
      </c>
      <c r="O64" s="210">
        <f t="shared" si="3"/>
        <v>15351.12</v>
      </c>
    </row>
    <row r="65" spans="5:15">
      <c r="E65" s="208" t="s">
        <v>324</v>
      </c>
      <c r="F65" s="208" t="s">
        <v>2472</v>
      </c>
      <c r="G65" s="208" t="s">
        <v>282</v>
      </c>
      <c r="H65" s="208">
        <v>-14</v>
      </c>
      <c r="I65" s="208">
        <v>0</v>
      </c>
      <c r="K65" s="209" t="str">
        <f t="shared" si="0"/>
        <v>ETF Options</v>
      </c>
      <c r="L65" s="209" t="str">
        <f>IF(E65="","",IF(COUNTIFS(Table2[[#All],[De (Lote)]],'Input_APM (Zenith)'!F65)&gt;0,INDEX(Table2[[#All],[Para (Ticker Daniel)]],MATCH('Input_APM (Zenith)'!F65,Table2[[#All],[De (Lote)]],0)),'Input_APM (Zenith)'!F65))</f>
        <v>QQQ US 02/06/26 P615</v>
      </c>
      <c r="M65" s="209" t="str">
        <f t="shared" si="1"/>
        <v>EQTY.IntlUS.off</v>
      </c>
      <c r="N65" s="210">
        <f t="shared" si="2"/>
        <v>-14</v>
      </c>
      <c r="O65" s="210">
        <f t="shared" si="3"/>
        <v>0</v>
      </c>
    </row>
    <row r="66" spans="5:15">
      <c r="E66" s="208" t="s">
        <v>324</v>
      </c>
      <c r="F66" s="208" t="s">
        <v>2471</v>
      </c>
      <c r="G66" s="208" t="s">
        <v>282</v>
      </c>
      <c r="H66" s="208">
        <v>14</v>
      </c>
      <c r="I66" s="208">
        <v>0</v>
      </c>
      <c r="K66" s="209" t="str">
        <f t="shared" si="0"/>
        <v>ETF Options</v>
      </c>
      <c r="L66" s="209" t="str">
        <f>IF(E66="","",IF(COUNTIFS(Table2[[#All],[De (Lote)]],'Input_APM (Zenith)'!F66)&gt;0,INDEX(Table2[[#All],[Para (Ticker Daniel)]],MATCH('Input_APM (Zenith)'!F66,Table2[[#All],[De (Lote)]],0)),'Input_APM (Zenith)'!F66))</f>
        <v>QQQ US 02/06/26 P620</v>
      </c>
      <c r="M66" s="209" t="str">
        <f t="shared" si="1"/>
        <v>EQTY.IntlUS.off</v>
      </c>
      <c r="N66" s="210">
        <f t="shared" si="2"/>
        <v>14</v>
      </c>
      <c r="O66" s="210">
        <f t="shared" si="3"/>
        <v>0</v>
      </c>
    </row>
    <row r="67" spans="5:15">
      <c r="E67" s="208" t="s">
        <v>317</v>
      </c>
      <c r="F67" s="208" t="s">
        <v>2128</v>
      </c>
      <c r="G67" s="208" t="s">
        <v>282</v>
      </c>
      <c r="H67" s="208">
        <v>2265</v>
      </c>
      <c r="I67" s="208">
        <v>2265</v>
      </c>
      <c r="K67" s="209" t="str">
        <f t="shared" ref="K67:K130" si="4">IF(E67="","",E67)</f>
        <v>US Equity</v>
      </c>
      <c r="L67" s="209" t="str">
        <f>IF(E67="","",IF(COUNTIFS(Table2[[#All],[De (Lote)]],'Input_APM (Zenith)'!F67)&gt;0,INDEX(Table2[[#All],[Para (Ticker Daniel)]],MATCH('Input_APM (Zenith)'!F67,Table2[[#All],[De (Lote)]],0)),'Input_APM (Zenith)'!F67))</f>
        <v>RIOT</v>
      </c>
      <c r="M67" s="209" t="str">
        <f t="shared" ref="M67:M130" si="5">IF(E67="","",G67)</f>
        <v>EQTY.IntlUS.off</v>
      </c>
      <c r="N67" s="210">
        <f t="shared" ref="N67:N130" si="6">IF(E67="","",H67)</f>
        <v>2265</v>
      </c>
      <c r="O67" s="210">
        <f t="shared" ref="O67:O130" si="7">IF(E67="","",I67)</f>
        <v>2265</v>
      </c>
    </row>
    <row r="68" spans="5:15">
      <c r="E68" s="208" t="s">
        <v>320</v>
      </c>
      <c r="F68" s="208" t="s">
        <v>3</v>
      </c>
      <c r="G68" s="208" t="s">
        <v>282</v>
      </c>
      <c r="H68" s="208">
        <v>0</v>
      </c>
      <c r="I68" s="208">
        <v>-2917</v>
      </c>
      <c r="K68" s="209" t="str">
        <f t="shared" si="4"/>
        <v>ETF</v>
      </c>
      <c r="L68" s="209" t="str">
        <f>IF(E68="","",IF(COUNTIFS(Table2[[#All],[De (Lote)]],'Input_APM (Zenith)'!F68)&gt;0,INDEX(Table2[[#All],[Para (Ticker Daniel)]],MATCH('Input_APM (Zenith)'!F68,Table2[[#All],[De (Lote)]],0)),'Input_APM (Zenith)'!F68))</f>
        <v>RSP</v>
      </c>
      <c r="M68" s="209" t="str">
        <f t="shared" si="5"/>
        <v>EQTY.IntlUS.off</v>
      </c>
      <c r="N68" s="210">
        <f t="shared" si="6"/>
        <v>0</v>
      </c>
      <c r="O68" s="210">
        <f t="shared" si="7"/>
        <v>-2917</v>
      </c>
    </row>
    <row r="69" spans="5:15">
      <c r="E69" s="208" t="s">
        <v>2130</v>
      </c>
      <c r="F69" s="208" t="s">
        <v>2131</v>
      </c>
      <c r="G69" s="208" t="s">
        <v>282</v>
      </c>
      <c r="H69" s="208">
        <v>52</v>
      </c>
      <c r="I69" s="208">
        <v>52</v>
      </c>
      <c r="K69" s="209" t="str">
        <f t="shared" si="4"/>
        <v>Equity Total Return Swap</v>
      </c>
      <c r="L69" s="209" t="str">
        <f>IF(E69="","",IF(COUNTIFS(Table2[[#All],[De (Lote)]],'Input_APM (Zenith)'!F69)&gt;0,INDEX(Table2[[#All],[Para (Ticker Daniel)]],MATCH('Input_APM (Zenith)'!F69,Table2[[#All],[De (Lote)]],0)),'Input_APM (Zenith)'!F69))</f>
        <v>000660 KS</v>
      </c>
      <c r="M69" s="209" t="str">
        <f t="shared" si="5"/>
        <v>EQTY.IntlUS.off</v>
      </c>
      <c r="N69" s="210">
        <f t="shared" si="6"/>
        <v>52</v>
      </c>
      <c r="O69" s="210">
        <f t="shared" si="7"/>
        <v>52</v>
      </c>
    </row>
    <row r="70" spans="5:15">
      <c r="E70" s="208" t="s">
        <v>2130</v>
      </c>
      <c r="F70" s="208" t="s">
        <v>2322</v>
      </c>
      <c r="G70" s="208" t="s">
        <v>282</v>
      </c>
      <c r="H70" s="208">
        <v>43</v>
      </c>
      <c r="I70" s="208">
        <v>43</v>
      </c>
      <c r="K70" s="209" t="str">
        <f t="shared" si="4"/>
        <v>Equity Total Return Swap</v>
      </c>
      <c r="L70" s="209" t="str">
        <f>IF(E70="","",IF(COUNTIFS(Table2[[#All],[De (Lote)]],'Input_APM (Zenith)'!F70)&gt;0,INDEX(Table2[[#All],[Para (Ticker Daniel)]],MATCH('Input_APM (Zenith)'!F70,Table2[[#All],[De (Lote)]],0)),'Input_APM (Zenith)'!F70))</f>
        <v>SWAP 000660 KS 26JAN2026 26JAN2027 509.6192</v>
      </c>
      <c r="M70" s="209" t="str">
        <f t="shared" si="5"/>
        <v>EQTY.IntlUS.off</v>
      </c>
      <c r="N70" s="210">
        <f t="shared" si="6"/>
        <v>43</v>
      </c>
      <c r="O70" s="210">
        <f t="shared" si="7"/>
        <v>43</v>
      </c>
    </row>
    <row r="71" spans="5:15">
      <c r="E71" s="208" t="s">
        <v>2130</v>
      </c>
      <c r="F71" s="208" t="s">
        <v>2402</v>
      </c>
      <c r="G71" s="208" t="s">
        <v>282</v>
      </c>
      <c r="H71" s="208">
        <v>130</v>
      </c>
      <c r="I71" s="208">
        <v>130</v>
      </c>
      <c r="K71" s="209" t="str">
        <f t="shared" si="4"/>
        <v>Equity Total Return Swap</v>
      </c>
      <c r="L71" s="209" t="str">
        <f>IF(E71="","",IF(COUNTIFS(Table2[[#All],[De (Lote)]],'Input_APM (Zenith)'!F71)&gt;0,INDEX(Table2[[#All],[Para (Ticker Daniel)]],MATCH('Input_APM (Zenith)'!F71,Table2[[#All],[De (Lote)]],0)),'Input_APM (Zenith)'!F71))</f>
        <v>SWAP 300502 CH 30JAN2026 01FEB2027 57.9966</v>
      </c>
      <c r="M71" s="209" t="str">
        <f t="shared" si="5"/>
        <v>EQTY.IntlUS.off</v>
      </c>
      <c r="N71" s="210">
        <f t="shared" si="6"/>
        <v>130</v>
      </c>
      <c r="O71" s="210">
        <f t="shared" si="7"/>
        <v>130</v>
      </c>
    </row>
    <row r="72" spans="5:15">
      <c r="E72" s="208" t="s">
        <v>2403</v>
      </c>
      <c r="F72" s="208" t="s">
        <v>2404</v>
      </c>
      <c r="G72" s="208" t="s">
        <v>282</v>
      </c>
      <c r="H72" s="208">
        <v>609160</v>
      </c>
      <c r="I72" s="208">
        <v>609160</v>
      </c>
      <c r="K72" s="209" t="str">
        <f t="shared" si="4"/>
        <v>TBOND</v>
      </c>
      <c r="L72" s="209" t="str">
        <f>IF(E72="","",IF(COUNTIFS(Table2[[#All],[De (Lote)]],'Input_APM (Zenith)'!F72)&gt;0,INDEX(Table2[[#All],[Para (Ticker Daniel)]],MATCH('Input_APM (Zenith)'!F72,Table2[[#All],[De (Lote)]],0)),'Input_APM (Zenith)'!F72))</f>
        <v>T 4.000% 11/15/35</v>
      </c>
      <c r="M72" s="209" t="str">
        <f t="shared" si="5"/>
        <v>EQTY.IntlUS.off</v>
      </c>
      <c r="N72" s="210">
        <f t="shared" si="6"/>
        <v>609160</v>
      </c>
      <c r="O72" s="210">
        <f t="shared" si="7"/>
        <v>609160</v>
      </c>
    </row>
    <row r="73" spans="5:15">
      <c r="E73" s="208" t="s">
        <v>39</v>
      </c>
      <c r="F73" s="208" t="s">
        <v>96</v>
      </c>
      <c r="G73" s="208" t="s">
        <v>282</v>
      </c>
      <c r="H73" s="208">
        <v>90</v>
      </c>
      <c r="I73" s="208">
        <v>360</v>
      </c>
      <c r="K73" s="209" t="str">
        <f t="shared" si="4"/>
        <v>ADR</v>
      </c>
      <c r="L73" s="209" t="str">
        <f>IF(E73="","",IF(COUNTIFS(Table2[[#All],[De (Lote)]],'Input_APM (Zenith)'!F73)&gt;0,INDEX(Table2[[#All],[Para (Ticker Daniel)]],MATCH('Input_APM (Zenith)'!F73,Table2[[#All],[De (Lote)]],0)),'Input_APM (Zenith)'!F73))</f>
        <v>TSM</v>
      </c>
      <c r="M73" s="209" t="str">
        <f t="shared" si="5"/>
        <v>EQTY.IntlUS.off</v>
      </c>
      <c r="N73" s="210">
        <f t="shared" si="6"/>
        <v>90</v>
      </c>
      <c r="O73" s="210">
        <f t="shared" si="7"/>
        <v>360</v>
      </c>
    </row>
    <row r="74" spans="5:15">
      <c r="E74" s="208" t="s">
        <v>327</v>
      </c>
      <c r="F74" s="208" t="s">
        <v>2225</v>
      </c>
      <c r="G74" s="208" t="s">
        <v>282</v>
      </c>
      <c r="H74" s="208">
        <v>97</v>
      </c>
      <c r="I74" s="208">
        <v>97</v>
      </c>
      <c r="K74" s="209" t="str">
        <f t="shared" si="4"/>
        <v>ADR Options</v>
      </c>
      <c r="L74" s="209" t="str">
        <f>IF(E74="","",IF(COUNTIFS(Table2[[#All],[De (Lote)]],'Input_APM (Zenith)'!F74)&gt;0,INDEX(Table2[[#All],[Para (Ticker Daniel)]],MATCH('Input_APM (Zenith)'!F74,Table2[[#All],[De (Lote)]],0)),'Input_APM (Zenith)'!F74))</f>
        <v>TSM US 06/18/26 C340</v>
      </c>
      <c r="M74" s="209" t="str">
        <f t="shared" si="5"/>
        <v>EQTY.IntlUS.off</v>
      </c>
      <c r="N74" s="210">
        <f t="shared" si="6"/>
        <v>97</v>
      </c>
      <c r="O74" s="210">
        <f t="shared" si="7"/>
        <v>97</v>
      </c>
    </row>
    <row r="75" spans="5:15">
      <c r="E75" s="208" t="s">
        <v>327</v>
      </c>
      <c r="F75" s="208" t="s">
        <v>2226</v>
      </c>
      <c r="G75" s="208" t="s">
        <v>282</v>
      </c>
      <c r="H75" s="208">
        <v>-80</v>
      </c>
      <c r="I75" s="208">
        <v>-80</v>
      </c>
      <c r="K75" s="209" t="str">
        <f t="shared" si="4"/>
        <v>ADR Options</v>
      </c>
      <c r="L75" s="209" t="str">
        <f>IF(E75="","",IF(COUNTIFS(Table2[[#All],[De (Lote)]],'Input_APM (Zenith)'!F75)&gt;0,INDEX(Table2[[#All],[Para (Ticker Daniel)]],MATCH('Input_APM (Zenith)'!F75,Table2[[#All],[De (Lote)]],0)),'Input_APM (Zenith)'!F75))</f>
        <v>TSM US 06/18/26 C380</v>
      </c>
      <c r="M75" s="209" t="str">
        <f t="shared" si="5"/>
        <v>EQTY.IntlUS.off</v>
      </c>
      <c r="N75" s="210">
        <f t="shared" si="6"/>
        <v>-80</v>
      </c>
      <c r="O75" s="210">
        <f t="shared" si="7"/>
        <v>-80</v>
      </c>
    </row>
    <row r="76" spans="5:15">
      <c r="E76" s="208" t="s">
        <v>320</v>
      </c>
      <c r="F76" s="208" t="s">
        <v>88</v>
      </c>
      <c r="G76" s="208" t="s">
        <v>282</v>
      </c>
      <c r="H76" s="208">
        <v>2885</v>
      </c>
      <c r="I76" s="208">
        <v>2885</v>
      </c>
      <c r="K76" s="209" t="str">
        <f t="shared" si="4"/>
        <v>ETF</v>
      </c>
      <c r="L76" s="209" t="str">
        <f>IF(E76="","",IF(COUNTIFS(Table2[[#All],[De (Lote)]],'Input_APM (Zenith)'!F76)&gt;0,INDEX(Table2[[#All],[Para (Ticker Daniel)]],MATCH('Input_APM (Zenith)'!F76,Table2[[#All],[De (Lote)]],0)),'Input_APM (Zenith)'!F76))</f>
        <v>XLF</v>
      </c>
      <c r="M76" s="209" t="str">
        <f t="shared" si="5"/>
        <v>EQTY.IntlUS.off</v>
      </c>
      <c r="N76" s="210">
        <f t="shared" si="6"/>
        <v>2885</v>
      </c>
      <c r="O76" s="210">
        <f t="shared" si="7"/>
        <v>2885</v>
      </c>
    </row>
    <row r="77" spans="5:15">
      <c r="E77" s="208" t="s">
        <v>320</v>
      </c>
      <c r="F77" s="208" t="s">
        <v>4</v>
      </c>
      <c r="G77" s="208" t="s">
        <v>282</v>
      </c>
      <c r="H77" s="208">
        <v>-1735</v>
      </c>
      <c r="I77" s="208">
        <v>-1735</v>
      </c>
      <c r="K77" s="209" t="str">
        <f t="shared" si="4"/>
        <v>ETF</v>
      </c>
      <c r="L77" s="209" t="str">
        <f>IF(E77="","",IF(COUNTIFS(Table2[[#All],[De (Lote)]],'Input_APM (Zenith)'!F77)&gt;0,INDEX(Table2[[#All],[Para (Ticker Daniel)]],MATCH('Input_APM (Zenith)'!F77,Table2[[#All],[De (Lote)]],0)),'Input_APM (Zenith)'!F77))</f>
        <v>XLP</v>
      </c>
      <c r="M77" s="209" t="str">
        <f t="shared" si="5"/>
        <v>EQTY.IntlUS.off</v>
      </c>
      <c r="N77" s="210">
        <f t="shared" si="6"/>
        <v>-1735</v>
      </c>
      <c r="O77" s="210">
        <f t="shared" si="7"/>
        <v>-1735</v>
      </c>
    </row>
    <row r="78" spans="5:15">
      <c r="E78" s="208" t="s">
        <v>317</v>
      </c>
      <c r="F78" s="208" t="s">
        <v>2442</v>
      </c>
      <c r="G78" s="208" t="s">
        <v>282</v>
      </c>
      <c r="H78" s="208">
        <v>-30</v>
      </c>
      <c r="I78" s="208">
        <v>-30</v>
      </c>
      <c r="K78" s="209" t="str">
        <f t="shared" si="4"/>
        <v>US Equity</v>
      </c>
      <c r="L78" s="209" t="str">
        <f>IF(E78="","",IF(COUNTIFS(Table2[[#All],[De (Lote)]],'Input_APM (Zenith)'!F78)&gt;0,INDEX(Table2[[#All],[Para (Ticker Daniel)]],MATCH('Input_APM (Zenith)'!F78,Table2[[#All],[De (Lote)]],0)),'Input_APM (Zenith)'!F78))</f>
        <v>YSS</v>
      </c>
      <c r="M78" s="209" t="str">
        <f t="shared" si="5"/>
        <v>EQTY.IntlUS.off</v>
      </c>
      <c r="N78" s="210">
        <f t="shared" si="6"/>
        <v>-30</v>
      </c>
      <c r="O78" s="210">
        <f t="shared" si="7"/>
        <v>-30</v>
      </c>
    </row>
    <row r="79" spans="5:15">
      <c r="K79" s="209" t="str">
        <f t="shared" si="4"/>
        <v/>
      </c>
      <c r="L79" s="209" t="str">
        <f>IF(E79="","",IF(COUNTIFS(Table2[[#All],[De (Lote)]],'Input_APM (Zenith)'!F79)&gt;0,INDEX(Table2[[#All],[Para (Ticker Daniel)]],MATCH('Input_APM (Zenith)'!F79,Table2[[#All],[De (Lote)]],0)),'Input_APM (Zenith)'!F79))</f>
        <v/>
      </c>
      <c r="M79" s="209" t="str">
        <f t="shared" si="5"/>
        <v/>
      </c>
      <c r="N79" s="210" t="str">
        <f t="shared" si="6"/>
        <v/>
      </c>
      <c r="O79" s="210" t="str">
        <f t="shared" si="7"/>
        <v/>
      </c>
    </row>
    <row r="80" spans="5:15">
      <c r="K80" s="209" t="str">
        <f t="shared" si="4"/>
        <v/>
      </c>
      <c r="L80" s="209" t="str">
        <f>IF(E80="","",IF(COUNTIFS(Table2[[#All],[De (Lote)]],'Input_APM (Zenith)'!F80)&gt;0,INDEX(Table2[[#All],[Para (Ticker Daniel)]],MATCH('Input_APM (Zenith)'!F80,Table2[[#All],[De (Lote)]],0)),'Input_APM (Zenith)'!F80))</f>
        <v/>
      </c>
      <c r="M80" s="209" t="str">
        <f t="shared" si="5"/>
        <v/>
      </c>
      <c r="N80" s="210" t="str">
        <f t="shared" si="6"/>
        <v/>
      </c>
      <c r="O80" s="210" t="str">
        <f t="shared" si="7"/>
        <v/>
      </c>
    </row>
    <row r="81" spans="8:15">
      <c r="K81" s="209" t="str">
        <f t="shared" si="4"/>
        <v/>
      </c>
      <c r="L81" s="209" t="str">
        <f>IF(E81="","",IF(COUNTIFS(Table2[[#All],[De (Lote)]],'Input_APM (Zenith)'!F81)&gt;0,INDEX(Table2[[#All],[Para (Ticker Daniel)]],MATCH('Input_APM (Zenith)'!F81,Table2[[#All],[De (Lote)]],0)),'Input_APM (Zenith)'!F81))</f>
        <v/>
      </c>
      <c r="M81" s="209" t="str">
        <f t="shared" si="5"/>
        <v/>
      </c>
      <c r="N81" s="210" t="str">
        <f t="shared" si="6"/>
        <v/>
      </c>
      <c r="O81" s="210" t="str">
        <f t="shared" si="7"/>
        <v/>
      </c>
    </row>
    <row r="82" spans="8:15">
      <c r="H82" s="220"/>
      <c r="K82" s="209" t="str">
        <f t="shared" si="4"/>
        <v/>
      </c>
      <c r="L82" s="209" t="str">
        <f>IF(E82="","",IF(COUNTIFS(Table2[[#All],[De (Lote)]],'Input_APM (Zenith)'!F82)&gt;0,INDEX(Table2[[#All],[Para (Ticker Daniel)]],MATCH('Input_APM (Zenith)'!F82,Table2[[#All],[De (Lote)]],0)),'Input_APM (Zenith)'!F82))</f>
        <v/>
      </c>
      <c r="M82" s="209" t="str">
        <f t="shared" si="5"/>
        <v/>
      </c>
      <c r="N82" s="210" t="str">
        <f t="shared" si="6"/>
        <v/>
      </c>
      <c r="O82" s="210" t="str">
        <f t="shared" si="7"/>
        <v/>
      </c>
    </row>
    <row r="83" spans="8:15">
      <c r="H83" s="220"/>
      <c r="K83" s="209" t="str">
        <f t="shared" si="4"/>
        <v/>
      </c>
      <c r="L83" s="209" t="str">
        <f>IF(E83="","",IF(COUNTIFS(Table2[[#All],[De (Lote)]],'Input_APM (Zenith)'!F83)&gt;0,INDEX(Table2[[#All],[Para (Ticker Daniel)]],MATCH('Input_APM (Zenith)'!F83,Table2[[#All],[De (Lote)]],0)),'Input_APM (Zenith)'!F83))</f>
        <v/>
      </c>
      <c r="M83" s="209" t="str">
        <f t="shared" si="5"/>
        <v/>
      </c>
      <c r="N83" s="210" t="str">
        <f t="shared" si="6"/>
        <v/>
      </c>
      <c r="O83" s="210" t="str">
        <f t="shared" si="7"/>
        <v/>
      </c>
    </row>
    <row r="84" spans="8:15">
      <c r="H84" s="220"/>
      <c r="K84" s="209" t="str">
        <f t="shared" si="4"/>
        <v/>
      </c>
      <c r="L84" s="209" t="str">
        <f>IF(E84="","",IF(COUNTIFS(Table2[[#All],[De (Lote)]],'Input_APM (Zenith)'!F84)&gt;0,INDEX(Table2[[#All],[Para (Ticker Daniel)]],MATCH('Input_APM (Zenith)'!F84,Table2[[#All],[De (Lote)]],0)),'Input_APM (Zenith)'!F84))</f>
        <v/>
      </c>
      <c r="M84" s="209" t="str">
        <f t="shared" si="5"/>
        <v/>
      </c>
      <c r="N84" s="210" t="str">
        <f t="shared" si="6"/>
        <v/>
      </c>
      <c r="O84" s="210" t="str">
        <f t="shared" si="7"/>
        <v/>
      </c>
    </row>
    <row r="85" spans="8:15">
      <c r="K85" s="209" t="str">
        <f t="shared" si="4"/>
        <v/>
      </c>
      <c r="L85" s="209" t="str">
        <f>IF(E85="","",IF(COUNTIFS(Table2[[#All],[De (Lote)]],'Input_APM (Zenith)'!F85)&gt;0,INDEX(Table2[[#All],[Para (Ticker Daniel)]],MATCH('Input_APM (Zenith)'!F85,Table2[[#All],[De (Lote)]],0)),'Input_APM (Zenith)'!F85))</f>
        <v/>
      </c>
      <c r="M85" s="209" t="str">
        <f t="shared" si="5"/>
        <v/>
      </c>
      <c r="N85" s="210" t="str">
        <f t="shared" si="6"/>
        <v/>
      </c>
      <c r="O85" s="210" t="str">
        <f t="shared" si="7"/>
        <v/>
      </c>
    </row>
    <row r="86" spans="8:15">
      <c r="K86" s="209" t="str">
        <f t="shared" si="4"/>
        <v/>
      </c>
      <c r="L86" s="209" t="str">
        <f>IF(E86="","",IF(COUNTIFS(Table2[[#All],[De (Lote)]],'Input_APM (Zenith)'!F86)&gt;0,INDEX(Table2[[#All],[Para (Ticker Daniel)]],MATCH('Input_APM (Zenith)'!F86,Table2[[#All],[De (Lote)]],0)),'Input_APM (Zenith)'!F86))</f>
        <v/>
      </c>
      <c r="M86" s="209" t="str">
        <f t="shared" si="5"/>
        <v/>
      </c>
      <c r="N86" s="210" t="str">
        <f t="shared" si="6"/>
        <v/>
      </c>
      <c r="O86" s="210" t="str">
        <f t="shared" si="7"/>
        <v/>
      </c>
    </row>
    <row r="87" spans="8:15">
      <c r="K87" s="209" t="str">
        <f t="shared" si="4"/>
        <v/>
      </c>
      <c r="L87" s="209" t="str">
        <f>IF(E87="","",IF(COUNTIFS(Table2[[#All],[De (Lote)]],'Input_APM (Zenith)'!F87)&gt;0,INDEX(Table2[[#All],[Para (Ticker Daniel)]],MATCH('Input_APM (Zenith)'!F87,Table2[[#All],[De (Lote)]],0)),'Input_APM (Zenith)'!F87))</f>
        <v/>
      </c>
      <c r="M87" s="209" t="str">
        <f t="shared" si="5"/>
        <v/>
      </c>
      <c r="N87" s="210" t="str">
        <f t="shared" si="6"/>
        <v/>
      </c>
      <c r="O87" s="210" t="str">
        <f t="shared" si="7"/>
        <v/>
      </c>
    </row>
    <row r="88" spans="8:15">
      <c r="K88" s="209" t="str">
        <f t="shared" si="4"/>
        <v/>
      </c>
      <c r="L88" s="209" t="str">
        <f>IF(E88="","",IF(COUNTIFS(Table2[[#All],[De (Lote)]],'Input_APM (Zenith)'!F88)&gt;0,INDEX(Table2[[#All],[Para (Ticker Daniel)]],MATCH('Input_APM (Zenith)'!F88,Table2[[#All],[De (Lote)]],0)),'Input_APM (Zenith)'!F88))</f>
        <v/>
      </c>
      <c r="M88" s="209" t="str">
        <f t="shared" si="5"/>
        <v/>
      </c>
      <c r="N88" s="210" t="str">
        <f t="shared" si="6"/>
        <v/>
      </c>
      <c r="O88" s="210" t="str">
        <f t="shared" si="7"/>
        <v/>
      </c>
    </row>
    <row r="89" spans="8:15">
      <c r="K89" s="209" t="str">
        <f t="shared" si="4"/>
        <v/>
      </c>
      <c r="L89" s="209" t="str">
        <f>IF(E89="","",IF(COUNTIFS(Table2[[#All],[De (Lote)]],'Input_APM (Zenith)'!F89)&gt;0,INDEX(Table2[[#All],[Para (Ticker Daniel)]],MATCH('Input_APM (Zenith)'!F89,Table2[[#All],[De (Lote)]],0)),'Input_APM (Zenith)'!F89))</f>
        <v/>
      </c>
      <c r="M89" s="209" t="str">
        <f t="shared" si="5"/>
        <v/>
      </c>
      <c r="N89" s="210" t="str">
        <f t="shared" si="6"/>
        <v/>
      </c>
      <c r="O89" s="210" t="str">
        <f t="shared" si="7"/>
        <v/>
      </c>
    </row>
    <row r="90" spans="8:15">
      <c r="K90" s="209" t="str">
        <f t="shared" si="4"/>
        <v/>
      </c>
      <c r="L90" s="209" t="str">
        <f>IF(E90="","",IF(COUNTIFS(Table2[[#All],[De (Lote)]],'Input_APM (Zenith)'!F90)&gt;0,INDEX(Table2[[#All],[Para (Ticker Daniel)]],MATCH('Input_APM (Zenith)'!F90,Table2[[#All],[De (Lote)]],0)),'Input_APM (Zenith)'!F90))</f>
        <v/>
      </c>
      <c r="M90" s="209" t="str">
        <f t="shared" si="5"/>
        <v/>
      </c>
      <c r="N90" s="210" t="str">
        <f t="shared" si="6"/>
        <v/>
      </c>
      <c r="O90" s="210" t="str">
        <f t="shared" si="7"/>
        <v/>
      </c>
    </row>
    <row r="91" spans="8:15">
      <c r="K91" s="209" t="str">
        <f t="shared" si="4"/>
        <v/>
      </c>
      <c r="L91" s="209" t="str">
        <f>IF(E91="","",IF(COUNTIFS(Table2[[#All],[De (Lote)]],'Input_APM (Zenith)'!F91)&gt;0,INDEX(Table2[[#All],[Para (Ticker Daniel)]],MATCH('Input_APM (Zenith)'!F91,Table2[[#All],[De (Lote)]],0)),'Input_APM (Zenith)'!F91))</f>
        <v/>
      </c>
      <c r="M91" s="209" t="str">
        <f t="shared" si="5"/>
        <v/>
      </c>
      <c r="N91" s="210" t="str">
        <f t="shared" si="6"/>
        <v/>
      </c>
      <c r="O91" s="210" t="str">
        <f t="shared" si="7"/>
        <v/>
      </c>
    </row>
    <row r="92" spans="8:15">
      <c r="K92" s="209" t="str">
        <f t="shared" si="4"/>
        <v/>
      </c>
      <c r="L92" s="209" t="str">
        <f>IF(E92="","",IF(COUNTIFS(Table2[[#All],[De (Lote)]],'Input_APM (Zenith)'!F92)&gt;0,INDEX(Table2[[#All],[Para (Ticker Daniel)]],MATCH('Input_APM (Zenith)'!F92,Table2[[#All],[De (Lote)]],0)),'Input_APM (Zenith)'!F92))</f>
        <v/>
      </c>
      <c r="M92" s="209" t="str">
        <f t="shared" si="5"/>
        <v/>
      </c>
      <c r="N92" s="210" t="str">
        <f t="shared" si="6"/>
        <v/>
      </c>
      <c r="O92" s="210" t="str">
        <f t="shared" si="7"/>
        <v/>
      </c>
    </row>
    <row r="93" spans="8:15">
      <c r="H93" s="220"/>
      <c r="K93" s="209" t="str">
        <f t="shared" si="4"/>
        <v/>
      </c>
      <c r="L93" s="209" t="str">
        <f>IF(E93="","",IF(COUNTIFS(Table2[[#All],[De (Lote)]],'Input_APM (Zenith)'!F93)&gt;0,INDEX(Table2[[#All],[Para (Ticker Daniel)]],MATCH('Input_APM (Zenith)'!F93,Table2[[#All],[De (Lote)]],0)),'Input_APM (Zenith)'!F93))</f>
        <v/>
      </c>
      <c r="M93" s="209" t="str">
        <f t="shared" si="5"/>
        <v/>
      </c>
      <c r="N93" s="210" t="str">
        <f t="shared" si="6"/>
        <v/>
      </c>
      <c r="O93" s="210" t="str">
        <f t="shared" si="7"/>
        <v/>
      </c>
    </row>
    <row r="94" spans="8:15">
      <c r="H94" s="220"/>
      <c r="K94" s="209" t="str">
        <f t="shared" si="4"/>
        <v/>
      </c>
      <c r="L94" s="209" t="str">
        <f>IF(E94="","",IF(COUNTIFS(Table2[[#All],[De (Lote)]],'Input_APM (Zenith)'!F94)&gt;0,INDEX(Table2[[#All],[Para (Ticker Daniel)]],MATCH('Input_APM (Zenith)'!F94,Table2[[#All],[De (Lote)]],0)),'Input_APM (Zenith)'!F94))</f>
        <v/>
      </c>
      <c r="M94" s="209" t="str">
        <f t="shared" si="5"/>
        <v/>
      </c>
      <c r="N94" s="210" t="str">
        <f t="shared" si="6"/>
        <v/>
      </c>
      <c r="O94" s="210" t="str">
        <f t="shared" si="7"/>
        <v/>
      </c>
    </row>
    <row r="95" spans="8:15">
      <c r="K95" s="209" t="str">
        <f t="shared" si="4"/>
        <v/>
      </c>
      <c r="L95" s="209" t="str">
        <f>IF(E95="","",IF(COUNTIFS(Table2[[#All],[De (Lote)]],'Input_APM (Zenith)'!F95)&gt;0,INDEX(Table2[[#All],[Para (Ticker Daniel)]],MATCH('Input_APM (Zenith)'!F95,Table2[[#All],[De (Lote)]],0)),'Input_APM (Zenith)'!F95))</f>
        <v/>
      </c>
      <c r="M95" s="209" t="str">
        <f t="shared" si="5"/>
        <v/>
      </c>
      <c r="N95" s="210" t="str">
        <f t="shared" si="6"/>
        <v/>
      </c>
      <c r="O95" s="210" t="str">
        <f t="shared" si="7"/>
        <v/>
      </c>
    </row>
    <row r="96" spans="8:15">
      <c r="K96" s="209" t="str">
        <f t="shared" si="4"/>
        <v/>
      </c>
      <c r="L96" s="209" t="str">
        <f>IF(E96="","",IF(COUNTIFS(Table2[[#All],[De (Lote)]],'Input_APM (Zenith)'!F96)&gt;0,INDEX(Table2[[#All],[Para (Ticker Daniel)]],MATCH('Input_APM (Zenith)'!F96,Table2[[#All],[De (Lote)]],0)),'Input_APM (Zenith)'!F96))</f>
        <v/>
      </c>
      <c r="M96" s="209" t="str">
        <f t="shared" si="5"/>
        <v/>
      </c>
      <c r="N96" s="210" t="str">
        <f t="shared" si="6"/>
        <v/>
      </c>
      <c r="O96" s="210" t="str">
        <f t="shared" si="7"/>
        <v/>
      </c>
    </row>
    <row r="97" spans="11:15">
      <c r="K97" s="209" t="str">
        <f t="shared" si="4"/>
        <v/>
      </c>
      <c r="L97" s="209" t="str">
        <f>IF(E97="","",IF(COUNTIFS(Table2[[#All],[De (Lote)]],'Input_APM (Zenith)'!F97)&gt;0,INDEX(Table2[[#All],[Para (Ticker Daniel)]],MATCH('Input_APM (Zenith)'!F97,Table2[[#All],[De (Lote)]],0)),'Input_APM (Zenith)'!F97))</f>
        <v/>
      </c>
      <c r="M97" s="209" t="str">
        <f t="shared" si="5"/>
        <v/>
      </c>
      <c r="N97" s="210" t="str">
        <f t="shared" si="6"/>
        <v/>
      </c>
      <c r="O97" s="210" t="str">
        <f t="shared" si="7"/>
        <v/>
      </c>
    </row>
    <row r="98" spans="11:15">
      <c r="K98" s="209" t="str">
        <f t="shared" si="4"/>
        <v/>
      </c>
      <c r="L98" s="209" t="str">
        <f>IF(E98="","",IF(COUNTIFS(Table2[[#All],[De (Lote)]],'Input_APM (Zenith)'!F98)&gt;0,INDEX(Table2[[#All],[Para (Ticker Daniel)]],MATCH('Input_APM (Zenith)'!F98,Table2[[#All],[De (Lote)]],0)),'Input_APM (Zenith)'!F98))</f>
        <v/>
      </c>
      <c r="M98" s="209" t="str">
        <f t="shared" si="5"/>
        <v/>
      </c>
      <c r="N98" s="210" t="str">
        <f t="shared" si="6"/>
        <v/>
      </c>
      <c r="O98" s="210" t="str">
        <f t="shared" si="7"/>
        <v/>
      </c>
    </row>
    <row r="99" spans="11:15">
      <c r="K99" s="209" t="str">
        <f t="shared" si="4"/>
        <v/>
      </c>
      <c r="L99" s="209" t="str">
        <f>IF(E99="","",IF(COUNTIFS(Table2[[#All],[De (Lote)]],'Input_APM (Zenith)'!F99)&gt;0,INDEX(Table2[[#All],[Para (Ticker Daniel)]],MATCH('Input_APM (Zenith)'!F99,Table2[[#All],[De (Lote)]],0)),'Input_APM (Zenith)'!F99))</f>
        <v/>
      </c>
      <c r="M99" s="209" t="str">
        <f t="shared" si="5"/>
        <v/>
      </c>
      <c r="N99" s="210" t="str">
        <f t="shared" si="6"/>
        <v/>
      </c>
      <c r="O99" s="210" t="str">
        <f t="shared" si="7"/>
        <v/>
      </c>
    </row>
    <row r="100" spans="11:15">
      <c r="K100" s="209" t="str">
        <f t="shared" si="4"/>
        <v/>
      </c>
      <c r="L100" s="209" t="str">
        <f>IF(E100="","",IF(COUNTIFS(Table2[[#All],[De (Lote)]],'Input_APM (Zenith)'!F100)&gt;0,INDEX(Table2[[#All],[Para (Ticker Daniel)]],MATCH('Input_APM (Zenith)'!F100,Table2[[#All],[De (Lote)]],0)),'Input_APM (Zenith)'!F100))</f>
        <v/>
      </c>
      <c r="M100" s="209" t="str">
        <f t="shared" si="5"/>
        <v/>
      </c>
      <c r="N100" s="210" t="str">
        <f t="shared" si="6"/>
        <v/>
      </c>
      <c r="O100" s="210" t="str">
        <f t="shared" si="7"/>
        <v/>
      </c>
    </row>
    <row r="101" spans="11:15">
      <c r="K101" s="209" t="str">
        <f t="shared" si="4"/>
        <v/>
      </c>
      <c r="L101" s="209" t="str">
        <f>IF(E101="","",IF(COUNTIFS(Table2[[#All],[De (Lote)]],'Input_APM (Zenith)'!F101)&gt;0,INDEX(Table2[[#All],[Para (Ticker Daniel)]],MATCH('Input_APM (Zenith)'!F101,Table2[[#All],[De (Lote)]],0)),'Input_APM (Zenith)'!F101))</f>
        <v/>
      </c>
      <c r="M101" s="209" t="str">
        <f t="shared" si="5"/>
        <v/>
      </c>
      <c r="N101" s="210" t="str">
        <f t="shared" si="6"/>
        <v/>
      </c>
      <c r="O101" s="210" t="str">
        <f t="shared" si="7"/>
        <v/>
      </c>
    </row>
    <row r="102" spans="11:15">
      <c r="K102" s="209" t="str">
        <f t="shared" si="4"/>
        <v/>
      </c>
      <c r="L102" s="209" t="str">
        <f>IF(E102="","",IF(COUNTIFS(Table2[[#All],[De (Lote)]],'Input_APM (Zenith)'!F102)&gt;0,INDEX(Table2[[#All],[Para (Ticker Daniel)]],MATCH('Input_APM (Zenith)'!F102,Table2[[#All],[De (Lote)]],0)),'Input_APM (Zenith)'!F102))</f>
        <v/>
      </c>
      <c r="M102" s="209" t="str">
        <f t="shared" si="5"/>
        <v/>
      </c>
      <c r="N102" s="210" t="str">
        <f t="shared" si="6"/>
        <v/>
      </c>
      <c r="O102" s="210" t="str">
        <f t="shared" si="7"/>
        <v/>
      </c>
    </row>
    <row r="103" spans="11:15">
      <c r="K103" s="209" t="str">
        <f t="shared" si="4"/>
        <v/>
      </c>
      <c r="L103" s="209" t="str">
        <f>IF(E103="","",IF(COUNTIFS(Table2[[#All],[De (Lote)]],'Input_APM (Zenith)'!F103)&gt;0,INDEX(Table2[[#All],[Para (Ticker Daniel)]],MATCH('Input_APM (Zenith)'!F103,Table2[[#All],[De (Lote)]],0)),'Input_APM (Zenith)'!F103))</f>
        <v/>
      </c>
      <c r="M103" s="209" t="str">
        <f t="shared" si="5"/>
        <v/>
      </c>
      <c r="N103" s="210" t="str">
        <f t="shared" si="6"/>
        <v/>
      </c>
      <c r="O103" s="210" t="str">
        <f t="shared" si="7"/>
        <v/>
      </c>
    </row>
    <row r="104" spans="11:15">
      <c r="K104" s="209" t="str">
        <f t="shared" si="4"/>
        <v/>
      </c>
      <c r="L104" s="209" t="str">
        <f>IF(E104="","",IF(COUNTIFS(Table2[[#All],[De (Lote)]],'Input_APM (Zenith)'!F104)&gt;0,INDEX(Table2[[#All],[Para (Ticker Daniel)]],MATCH('Input_APM (Zenith)'!F104,Table2[[#All],[De (Lote)]],0)),'Input_APM (Zenith)'!F104))</f>
        <v/>
      </c>
      <c r="M104" s="209" t="str">
        <f t="shared" si="5"/>
        <v/>
      </c>
      <c r="N104" s="210" t="str">
        <f t="shared" si="6"/>
        <v/>
      </c>
      <c r="O104" s="210" t="str">
        <f t="shared" si="7"/>
        <v/>
      </c>
    </row>
    <row r="105" spans="11:15">
      <c r="K105" s="209" t="str">
        <f t="shared" si="4"/>
        <v/>
      </c>
      <c r="L105" s="209" t="str">
        <f>IF(E105="","",IF(COUNTIFS(Table2[[#All],[De (Lote)]],'Input_APM (Zenith)'!F105)&gt;0,INDEX(Table2[[#All],[Para (Ticker Daniel)]],MATCH('Input_APM (Zenith)'!F105,Table2[[#All],[De (Lote)]],0)),'Input_APM (Zenith)'!F105))</f>
        <v/>
      </c>
      <c r="M105" s="209" t="str">
        <f t="shared" si="5"/>
        <v/>
      </c>
      <c r="N105" s="210" t="str">
        <f t="shared" si="6"/>
        <v/>
      </c>
      <c r="O105" s="210" t="str">
        <f t="shared" si="7"/>
        <v/>
      </c>
    </row>
    <row r="106" spans="11:15">
      <c r="K106" s="209" t="str">
        <f t="shared" si="4"/>
        <v/>
      </c>
      <c r="L106" s="209" t="str">
        <f>IF(E106="","",IF(COUNTIFS(Table2[[#All],[De (Lote)]],'Input_APM (Zenith)'!F106)&gt;0,INDEX(Table2[[#All],[Para (Ticker Daniel)]],MATCH('Input_APM (Zenith)'!F106,Table2[[#All],[De (Lote)]],0)),'Input_APM (Zenith)'!F106))</f>
        <v/>
      </c>
      <c r="M106" s="209" t="str">
        <f t="shared" si="5"/>
        <v/>
      </c>
      <c r="N106" s="210" t="str">
        <f t="shared" si="6"/>
        <v/>
      </c>
      <c r="O106" s="210" t="str">
        <f t="shared" si="7"/>
        <v/>
      </c>
    </row>
    <row r="107" spans="11:15">
      <c r="K107" s="209" t="str">
        <f t="shared" si="4"/>
        <v/>
      </c>
      <c r="L107" s="209" t="str">
        <f>IF(E107="","",IF(COUNTIFS(Table2[[#All],[De (Lote)]],'Input_APM (Zenith)'!F107)&gt;0,INDEX(Table2[[#All],[Para (Ticker Daniel)]],MATCH('Input_APM (Zenith)'!F107,Table2[[#All],[De (Lote)]],0)),'Input_APM (Zenith)'!F107))</f>
        <v/>
      </c>
      <c r="M107" s="209" t="str">
        <f t="shared" si="5"/>
        <v/>
      </c>
      <c r="N107" s="210" t="str">
        <f t="shared" si="6"/>
        <v/>
      </c>
      <c r="O107" s="210" t="str">
        <f t="shared" si="7"/>
        <v/>
      </c>
    </row>
    <row r="108" spans="11:15">
      <c r="K108" s="209" t="str">
        <f t="shared" si="4"/>
        <v/>
      </c>
      <c r="L108" s="209" t="str">
        <f>IF(E108="","",IF(COUNTIFS(Table2[[#All],[De (Lote)]],'Input_APM (Zenith)'!F108)&gt;0,INDEX(Table2[[#All],[Para (Ticker Daniel)]],MATCH('Input_APM (Zenith)'!F108,Table2[[#All],[De (Lote)]],0)),'Input_APM (Zenith)'!F108))</f>
        <v/>
      </c>
      <c r="M108" s="209" t="str">
        <f t="shared" si="5"/>
        <v/>
      </c>
      <c r="N108" s="210" t="str">
        <f t="shared" si="6"/>
        <v/>
      </c>
      <c r="O108" s="210" t="str">
        <f t="shared" si="7"/>
        <v/>
      </c>
    </row>
    <row r="109" spans="11:15">
      <c r="K109" s="209" t="str">
        <f t="shared" si="4"/>
        <v/>
      </c>
      <c r="L109" s="209" t="str">
        <f>IF(E109="","",IF(COUNTIFS(Table2[[#All],[De (Lote)]],'Input_APM (Zenith)'!F109)&gt;0,INDEX(Table2[[#All],[Para (Ticker Daniel)]],MATCH('Input_APM (Zenith)'!F109,Table2[[#All],[De (Lote)]],0)),'Input_APM (Zenith)'!F109))</f>
        <v/>
      </c>
      <c r="M109" s="209" t="str">
        <f t="shared" si="5"/>
        <v/>
      </c>
      <c r="N109" s="210" t="str">
        <f t="shared" si="6"/>
        <v/>
      </c>
      <c r="O109" s="210" t="str">
        <f t="shared" si="7"/>
        <v/>
      </c>
    </row>
    <row r="110" spans="11:15">
      <c r="K110" s="209" t="str">
        <f t="shared" si="4"/>
        <v/>
      </c>
      <c r="L110" s="209" t="str">
        <f>IF(E110="","",IF(COUNTIFS(Table2[[#All],[De (Lote)]],'Input_APM (Zenith)'!F110)&gt;0,INDEX(Table2[[#All],[Para (Ticker Daniel)]],MATCH('Input_APM (Zenith)'!F110,Table2[[#All],[De (Lote)]],0)),'Input_APM (Zenith)'!F110))</f>
        <v/>
      </c>
      <c r="M110" s="209" t="str">
        <f t="shared" si="5"/>
        <v/>
      </c>
      <c r="N110" s="210" t="str">
        <f t="shared" si="6"/>
        <v/>
      </c>
      <c r="O110" s="210" t="str">
        <f t="shared" si="7"/>
        <v/>
      </c>
    </row>
    <row r="111" spans="11:15">
      <c r="K111" s="209" t="str">
        <f t="shared" si="4"/>
        <v/>
      </c>
      <c r="L111" s="209" t="str">
        <f>IF(E111="","",IF(COUNTIFS(Table2[[#All],[De (Lote)]],'Input_APM (Zenith)'!F111)&gt;0,INDEX(Table2[[#All],[Para (Ticker Daniel)]],MATCH('Input_APM (Zenith)'!F111,Table2[[#All],[De (Lote)]],0)),'Input_APM (Zenith)'!F111))</f>
        <v/>
      </c>
      <c r="M111" s="209" t="str">
        <f t="shared" si="5"/>
        <v/>
      </c>
      <c r="N111" s="210" t="str">
        <f t="shared" si="6"/>
        <v/>
      </c>
      <c r="O111" s="210" t="str">
        <f t="shared" si="7"/>
        <v/>
      </c>
    </row>
    <row r="112" spans="11:15">
      <c r="K112" s="209" t="str">
        <f t="shared" si="4"/>
        <v/>
      </c>
      <c r="L112" s="209" t="str">
        <f>IF(E112="","",IF(COUNTIFS(Table2[[#All],[De (Lote)]],'Input_APM (Zenith)'!F112)&gt;0,INDEX(Table2[[#All],[Para (Ticker Daniel)]],MATCH('Input_APM (Zenith)'!F112,Table2[[#All],[De (Lote)]],0)),'Input_APM (Zenith)'!F112))</f>
        <v/>
      </c>
      <c r="M112" s="209" t="str">
        <f t="shared" si="5"/>
        <v/>
      </c>
      <c r="N112" s="210" t="str">
        <f t="shared" si="6"/>
        <v/>
      </c>
      <c r="O112" s="210" t="str">
        <f t="shared" si="7"/>
        <v/>
      </c>
    </row>
    <row r="113" spans="11:15">
      <c r="K113" s="209" t="str">
        <f t="shared" si="4"/>
        <v/>
      </c>
      <c r="L113" s="209" t="str">
        <f>IF(E113="","",IF(COUNTIFS(Table2[[#All],[De (Lote)]],'Input_APM (Zenith)'!F113)&gt;0,INDEX(Table2[[#All],[Para (Ticker Daniel)]],MATCH('Input_APM (Zenith)'!F113,Table2[[#All],[De (Lote)]],0)),'Input_APM (Zenith)'!F113))</f>
        <v/>
      </c>
      <c r="M113" s="209" t="str">
        <f t="shared" si="5"/>
        <v/>
      </c>
      <c r="N113" s="210" t="str">
        <f t="shared" si="6"/>
        <v/>
      </c>
      <c r="O113" s="210" t="str">
        <f t="shared" si="7"/>
        <v/>
      </c>
    </row>
    <row r="114" spans="11:15">
      <c r="K114" s="209" t="str">
        <f t="shared" si="4"/>
        <v/>
      </c>
      <c r="L114" s="209" t="str">
        <f>IF(E114="","",IF(COUNTIFS(Table2[[#All],[De (Lote)]],'Input_APM (Zenith)'!F114)&gt;0,INDEX(Table2[[#All],[Para (Ticker Daniel)]],MATCH('Input_APM (Zenith)'!F114,Table2[[#All],[De (Lote)]],0)),'Input_APM (Zenith)'!F114))</f>
        <v/>
      </c>
      <c r="M114" s="209" t="str">
        <f t="shared" si="5"/>
        <v/>
      </c>
      <c r="N114" s="210" t="str">
        <f t="shared" si="6"/>
        <v/>
      </c>
      <c r="O114" s="210" t="str">
        <f t="shared" si="7"/>
        <v/>
      </c>
    </row>
    <row r="115" spans="11:15">
      <c r="K115" s="209" t="str">
        <f t="shared" si="4"/>
        <v/>
      </c>
      <c r="L115" s="209" t="str">
        <f>IF(E115="","",IF(COUNTIFS(Table2[[#All],[De (Lote)]],'Input_APM (Zenith)'!F115)&gt;0,INDEX(Table2[[#All],[Para (Ticker Daniel)]],MATCH('Input_APM (Zenith)'!F115,Table2[[#All],[De (Lote)]],0)),'Input_APM (Zenith)'!F115))</f>
        <v/>
      </c>
      <c r="M115" s="209" t="str">
        <f t="shared" si="5"/>
        <v/>
      </c>
      <c r="N115" s="210" t="str">
        <f t="shared" si="6"/>
        <v/>
      </c>
      <c r="O115" s="210" t="str">
        <f t="shared" si="7"/>
        <v/>
      </c>
    </row>
    <row r="116" spans="11:15">
      <c r="K116" s="209" t="str">
        <f t="shared" si="4"/>
        <v/>
      </c>
      <c r="L116" s="209" t="str">
        <f>IF(E116="","",IF(COUNTIFS(Table2[[#All],[De (Lote)]],'Input_APM (Zenith)'!F116)&gt;0,INDEX(Table2[[#All],[Para (Ticker Daniel)]],MATCH('Input_APM (Zenith)'!F116,Table2[[#All],[De (Lote)]],0)),'Input_APM (Zenith)'!F116))</f>
        <v/>
      </c>
      <c r="M116" s="209" t="str">
        <f t="shared" si="5"/>
        <v/>
      </c>
      <c r="N116" s="210" t="str">
        <f t="shared" si="6"/>
        <v/>
      </c>
      <c r="O116" s="210" t="str">
        <f t="shared" si="7"/>
        <v/>
      </c>
    </row>
    <row r="117" spans="11:15">
      <c r="K117" s="209" t="str">
        <f t="shared" si="4"/>
        <v/>
      </c>
      <c r="L117" s="209" t="str">
        <f>IF(E117="","",IF(COUNTIFS(Table2[[#All],[De (Lote)]],'Input_APM (Zenith)'!F117)&gt;0,INDEX(Table2[[#All],[Para (Ticker Daniel)]],MATCH('Input_APM (Zenith)'!F117,Table2[[#All],[De (Lote)]],0)),'Input_APM (Zenith)'!F117))</f>
        <v/>
      </c>
      <c r="M117" s="209" t="str">
        <f t="shared" si="5"/>
        <v/>
      </c>
      <c r="N117" s="210" t="str">
        <f t="shared" si="6"/>
        <v/>
      </c>
      <c r="O117" s="210" t="str">
        <f t="shared" si="7"/>
        <v/>
      </c>
    </row>
    <row r="118" spans="11:15">
      <c r="K118" s="209" t="str">
        <f t="shared" si="4"/>
        <v/>
      </c>
      <c r="L118" s="209" t="str">
        <f>IF(E118="","",IF(COUNTIFS(Table2[[#All],[De (Lote)]],'Input_APM (Zenith)'!F118)&gt;0,INDEX(Table2[[#All],[Para (Ticker Daniel)]],MATCH('Input_APM (Zenith)'!F118,Table2[[#All],[De (Lote)]],0)),'Input_APM (Zenith)'!F118))</f>
        <v/>
      </c>
      <c r="M118" s="209" t="str">
        <f t="shared" si="5"/>
        <v/>
      </c>
      <c r="N118" s="210" t="str">
        <f t="shared" si="6"/>
        <v/>
      </c>
      <c r="O118" s="210" t="str">
        <f t="shared" si="7"/>
        <v/>
      </c>
    </row>
    <row r="119" spans="11:15">
      <c r="K119" s="209" t="str">
        <f t="shared" si="4"/>
        <v/>
      </c>
      <c r="L119" s="209" t="str">
        <f>IF(E119="","",IF(COUNTIFS(Table2[[#All],[De (Lote)]],'Input_APM (Zenith)'!F119)&gt;0,INDEX(Table2[[#All],[Para (Ticker Daniel)]],MATCH('Input_APM (Zenith)'!F119,Table2[[#All],[De (Lote)]],0)),'Input_APM (Zenith)'!F119))</f>
        <v/>
      </c>
      <c r="M119" s="209" t="str">
        <f t="shared" si="5"/>
        <v/>
      </c>
      <c r="N119" s="210" t="str">
        <f t="shared" si="6"/>
        <v/>
      </c>
      <c r="O119" s="210" t="str">
        <f t="shared" si="7"/>
        <v/>
      </c>
    </row>
    <row r="120" spans="11:15">
      <c r="K120" s="209" t="str">
        <f t="shared" si="4"/>
        <v/>
      </c>
      <c r="L120" s="209" t="str">
        <f>IF(E120="","",IF(COUNTIFS(Table2[[#All],[De (Lote)]],'Input_APM (Zenith)'!F120)&gt;0,INDEX(Table2[[#All],[Para (Ticker Daniel)]],MATCH('Input_APM (Zenith)'!F120,Table2[[#All],[De (Lote)]],0)),'Input_APM (Zenith)'!F120))</f>
        <v/>
      </c>
      <c r="M120" s="209" t="str">
        <f t="shared" si="5"/>
        <v/>
      </c>
      <c r="N120" s="210" t="str">
        <f t="shared" si="6"/>
        <v/>
      </c>
      <c r="O120" s="210" t="str">
        <f t="shared" si="7"/>
        <v/>
      </c>
    </row>
    <row r="121" spans="11:15">
      <c r="K121" s="209" t="str">
        <f t="shared" si="4"/>
        <v/>
      </c>
      <c r="L121" s="209" t="str">
        <f>IF(E121="","",IF(COUNTIFS(Table2[[#All],[De (Lote)]],'Input_APM (Zenith)'!F121)&gt;0,INDEX(Table2[[#All],[Para (Ticker Daniel)]],MATCH('Input_APM (Zenith)'!F121,Table2[[#All],[De (Lote)]],0)),'Input_APM (Zenith)'!F121))</f>
        <v/>
      </c>
      <c r="M121" s="209" t="str">
        <f t="shared" si="5"/>
        <v/>
      </c>
      <c r="N121" s="210" t="str">
        <f t="shared" si="6"/>
        <v/>
      </c>
      <c r="O121" s="210" t="str">
        <f t="shared" si="7"/>
        <v/>
      </c>
    </row>
    <row r="122" spans="11:15">
      <c r="K122" s="209" t="str">
        <f t="shared" si="4"/>
        <v/>
      </c>
      <c r="L122" s="209" t="str">
        <f>IF(E122="","",IF(COUNTIFS(Table2[[#All],[De (Lote)]],'Input_APM (Zenith)'!F122)&gt;0,INDEX(Table2[[#All],[Para (Ticker Daniel)]],MATCH('Input_APM (Zenith)'!F122,Table2[[#All],[De (Lote)]],0)),'Input_APM (Zenith)'!F122))</f>
        <v/>
      </c>
      <c r="M122" s="209" t="str">
        <f t="shared" si="5"/>
        <v/>
      </c>
      <c r="N122" s="210" t="str">
        <f t="shared" si="6"/>
        <v/>
      </c>
      <c r="O122" s="210" t="str">
        <f t="shared" si="7"/>
        <v/>
      </c>
    </row>
    <row r="123" spans="11:15">
      <c r="K123" s="209" t="str">
        <f t="shared" si="4"/>
        <v/>
      </c>
      <c r="L123" s="209" t="str">
        <f>IF(E123="","",IF(COUNTIFS(Table2[[#All],[De (Lote)]],'Input_APM (Zenith)'!F123)&gt;0,INDEX(Table2[[#All],[Para (Ticker Daniel)]],MATCH('Input_APM (Zenith)'!F123,Table2[[#All],[De (Lote)]],0)),'Input_APM (Zenith)'!F123))</f>
        <v/>
      </c>
      <c r="M123" s="209" t="str">
        <f t="shared" si="5"/>
        <v/>
      </c>
      <c r="N123" s="210" t="str">
        <f t="shared" si="6"/>
        <v/>
      </c>
      <c r="O123" s="210" t="str">
        <f t="shared" si="7"/>
        <v/>
      </c>
    </row>
    <row r="124" spans="11:15">
      <c r="K124" s="209" t="str">
        <f t="shared" si="4"/>
        <v/>
      </c>
      <c r="L124" s="209" t="str">
        <f>IF(E124="","",IF(COUNTIFS(Table2[[#All],[De (Lote)]],'Input_APM (Zenith)'!F124)&gt;0,INDEX(Table2[[#All],[Para (Ticker Daniel)]],MATCH('Input_APM (Zenith)'!F124,Table2[[#All],[De (Lote)]],0)),'Input_APM (Zenith)'!F124))</f>
        <v/>
      </c>
      <c r="M124" s="209" t="str">
        <f t="shared" si="5"/>
        <v/>
      </c>
      <c r="N124" s="210" t="str">
        <f t="shared" si="6"/>
        <v/>
      </c>
      <c r="O124" s="210" t="str">
        <f t="shared" si="7"/>
        <v/>
      </c>
    </row>
    <row r="125" spans="11:15">
      <c r="K125" s="209" t="str">
        <f t="shared" si="4"/>
        <v/>
      </c>
      <c r="L125" s="209" t="str">
        <f>IF(E125="","",IF(COUNTIFS(Table2[[#All],[De (Lote)]],'Input_APM (Zenith)'!F125)&gt;0,INDEX(Table2[[#All],[Para (Ticker Daniel)]],MATCH('Input_APM (Zenith)'!F125,Table2[[#All],[De (Lote)]],0)),'Input_APM (Zenith)'!F125))</f>
        <v/>
      </c>
      <c r="M125" s="209" t="str">
        <f t="shared" si="5"/>
        <v/>
      </c>
      <c r="N125" s="210" t="str">
        <f t="shared" si="6"/>
        <v/>
      </c>
      <c r="O125" s="210" t="str">
        <f t="shared" si="7"/>
        <v/>
      </c>
    </row>
    <row r="126" spans="11:15">
      <c r="K126" s="209" t="str">
        <f t="shared" si="4"/>
        <v/>
      </c>
      <c r="L126" s="209" t="str">
        <f>IF(E126="","",IF(COUNTIFS(Table2[[#All],[De (Lote)]],'Input_APM (Zenith)'!F126)&gt;0,INDEX(Table2[[#All],[Para (Ticker Daniel)]],MATCH('Input_APM (Zenith)'!F126,Table2[[#All],[De (Lote)]],0)),'Input_APM (Zenith)'!F126))</f>
        <v/>
      </c>
      <c r="M126" s="209" t="str">
        <f t="shared" si="5"/>
        <v/>
      </c>
      <c r="N126" s="210" t="str">
        <f t="shared" si="6"/>
        <v/>
      </c>
      <c r="O126" s="210" t="str">
        <f t="shared" si="7"/>
        <v/>
      </c>
    </row>
    <row r="127" spans="11:15">
      <c r="K127" s="209" t="str">
        <f t="shared" si="4"/>
        <v/>
      </c>
      <c r="L127" s="209" t="str">
        <f>IF(E127="","",IF(COUNTIFS(Table2[[#All],[De (Lote)]],'Input_APM (Zenith)'!F127)&gt;0,INDEX(Table2[[#All],[Para (Ticker Daniel)]],MATCH('Input_APM (Zenith)'!F127,Table2[[#All],[De (Lote)]],0)),'Input_APM (Zenith)'!F127))</f>
        <v/>
      </c>
      <c r="M127" s="209" t="str">
        <f t="shared" si="5"/>
        <v/>
      </c>
      <c r="N127" s="210" t="str">
        <f t="shared" si="6"/>
        <v/>
      </c>
      <c r="O127" s="210" t="str">
        <f t="shared" si="7"/>
        <v/>
      </c>
    </row>
    <row r="128" spans="11:15">
      <c r="K128" s="209" t="str">
        <f t="shared" si="4"/>
        <v/>
      </c>
      <c r="L128" s="209" t="str">
        <f>IF(E128="","",IF(COUNTIFS(Table2[[#All],[De (Lote)]],'Input_APM (Zenith)'!F128)&gt;0,INDEX(Table2[[#All],[Para (Ticker Daniel)]],MATCH('Input_APM (Zenith)'!F128,Table2[[#All],[De (Lote)]],0)),'Input_APM (Zenith)'!F128))</f>
        <v/>
      </c>
      <c r="M128" s="209" t="str">
        <f t="shared" si="5"/>
        <v/>
      </c>
      <c r="N128" s="210" t="str">
        <f t="shared" si="6"/>
        <v/>
      </c>
      <c r="O128" s="210" t="str">
        <f t="shared" si="7"/>
        <v/>
      </c>
    </row>
    <row r="129" spans="11:15">
      <c r="K129" s="209" t="str">
        <f t="shared" si="4"/>
        <v/>
      </c>
      <c r="L129" s="209" t="str">
        <f>IF(E129="","",IF(COUNTIFS(Table2[[#All],[De (Lote)]],'Input_APM (Zenith)'!F129)&gt;0,INDEX(Table2[[#All],[Para (Ticker Daniel)]],MATCH('Input_APM (Zenith)'!F129,Table2[[#All],[De (Lote)]],0)),'Input_APM (Zenith)'!F129))</f>
        <v/>
      </c>
      <c r="M129" s="209" t="str">
        <f t="shared" si="5"/>
        <v/>
      </c>
      <c r="N129" s="210" t="str">
        <f t="shared" si="6"/>
        <v/>
      </c>
      <c r="O129" s="210" t="str">
        <f t="shared" si="7"/>
        <v/>
      </c>
    </row>
    <row r="130" spans="11:15">
      <c r="K130" s="209" t="str">
        <f t="shared" si="4"/>
        <v/>
      </c>
      <c r="L130" s="209" t="str">
        <f>IF(E130="","",IF(COUNTIFS(Table2[[#All],[De (Lote)]],'Input_APM (Zenith)'!F130)&gt;0,INDEX(Table2[[#All],[Para (Ticker Daniel)]],MATCH('Input_APM (Zenith)'!F130,Table2[[#All],[De (Lote)]],0)),'Input_APM (Zenith)'!F130))</f>
        <v/>
      </c>
      <c r="M130" s="209" t="str">
        <f t="shared" si="5"/>
        <v/>
      </c>
      <c r="N130" s="210" t="str">
        <f t="shared" si="6"/>
        <v/>
      </c>
      <c r="O130" s="210" t="str">
        <f t="shared" si="7"/>
        <v/>
      </c>
    </row>
    <row r="131" spans="11:15">
      <c r="K131" s="209" t="str">
        <f t="shared" ref="K131:K148" si="8">IF(E131="","",E131)</f>
        <v/>
      </c>
      <c r="L131" s="209" t="str">
        <f>IF(E131="","",IF(COUNTIFS(Table2[[#All],[De (Lote)]],'Input_APM (Zenith)'!F131)&gt;0,INDEX(Table2[[#All],[Para (Ticker Daniel)]],MATCH('Input_APM (Zenith)'!F131,Table2[[#All],[De (Lote)]],0)),'Input_APM (Zenith)'!F131))</f>
        <v/>
      </c>
      <c r="M131" s="209" t="str">
        <f t="shared" ref="M131:M148" si="9">IF(E131="","",G131)</f>
        <v/>
      </c>
      <c r="N131" s="210" t="str">
        <f t="shared" ref="N131:N148" si="10">IF(E131="","",H131)</f>
        <v/>
      </c>
      <c r="O131" s="210" t="str">
        <f t="shared" ref="O131:O148" si="11">IF(E131="","",I131)</f>
        <v/>
      </c>
    </row>
    <row r="132" spans="11:15">
      <c r="K132" s="209" t="str">
        <f t="shared" si="8"/>
        <v/>
      </c>
      <c r="L132" s="209" t="str">
        <f>IF(E132="","",IF(COUNTIFS(Table2[[#All],[De (Lote)]],'Input_APM (Zenith)'!F132)&gt;0,INDEX(Table2[[#All],[Para (Ticker Daniel)]],MATCH('Input_APM (Zenith)'!F132,Table2[[#All],[De (Lote)]],0)),'Input_APM (Zenith)'!F132))</f>
        <v/>
      </c>
      <c r="M132" s="209" t="str">
        <f t="shared" si="9"/>
        <v/>
      </c>
      <c r="N132" s="210" t="str">
        <f t="shared" si="10"/>
        <v/>
      </c>
      <c r="O132" s="210" t="str">
        <f t="shared" si="11"/>
        <v/>
      </c>
    </row>
    <row r="133" spans="11:15">
      <c r="K133" s="209" t="str">
        <f t="shared" si="8"/>
        <v/>
      </c>
      <c r="L133" s="209" t="str">
        <f>IF(E133="","",IF(COUNTIFS(Table2[[#All],[De (Lote)]],'Input_APM (Zenith)'!F133)&gt;0,INDEX(Table2[[#All],[Para (Ticker Daniel)]],MATCH('Input_APM (Zenith)'!F133,Table2[[#All],[De (Lote)]],0)),'Input_APM (Zenith)'!F133))</f>
        <v/>
      </c>
      <c r="M133" s="209" t="str">
        <f t="shared" si="9"/>
        <v/>
      </c>
      <c r="N133" s="210" t="str">
        <f t="shared" si="10"/>
        <v/>
      </c>
      <c r="O133" s="210" t="str">
        <f t="shared" si="11"/>
        <v/>
      </c>
    </row>
    <row r="134" spans="11:15">
      <c r="K134" s="209" t="str">
        <f t="shared" si="8"/>
        <v/>
      </c>
      <c r="L134" s="209" t="str">
        <f>IF(E134="","",IF(COUNTIFS(Table2[[#All],[De (Lote)]],'Input_APM (Zenith)'!F134)&gt;0,INDEX(Table2[[#All],[Para (Ticker Daniel)]],MATCH('Input_APM (Zenith)'!F134,Table2[[#All],[De (Lote)]],0)),'Input_APM (Zenith)'!F134))</f>
        <v/>
      </c>
      <c r="M134" s="209" t="str">
        <f t="shared" si="9"/>
        <v/>
      </c>
      <c r="N134" s="210" t="str">
        <f t="shared" si="10"/>
        <v/>
      </c>
      <c r="O134" s="210" t="str">
        <f t="shared" si="11"/>
        <v/>
      </c>
    </row>
    <row r="135" spans="11:15">
      <c r="K135" s="209" t="str">
        <f t="shared" si="8"/>
        <v/>
      </c>
      <c r="L135" s="209" t="str">
        <f>IF(E135="","",IF(COUNTIFS(Table2[[#All],[De (Lote)]],'Input_APM (Zenith)'!F135)&gt;0,INDEX(Table2[[#All],[Para (Ticker Daniel)]],MATCH('Input_APM (Zenith)'!F135,Table2[[#All],[De (Lote)]],0)),'Input_APM (Zenith)'!F135))</f>
        <v/>
      </c>
      <c r="M135" s="209" t="str">
        <f t="shared" si="9"/>
        <v/>
      </c>
      <c r="N135" s="210" t="str">
        <f t="shared" si="10"/>
        <v/>
      </c>
      <c r="O135" s="210" t="str">
        <f t="shared" si="11"/>
        <v/>
      </c>
    </row>
    <row r="136" spans="11:15">
      <c r="K136" s="209" t="str">
        <f t="shared" si="8"/>
        <v/>
      </c>
      <c r="L136" s="209" t="str">
        <f>IF(E136="","",IF(COUNTIFS(Table2[[#All],[De (Lote)]],'Input_APM (Zenith)'!F136)&gt;0,INDEX(Table2[[#All],[Para (Ticker Daniel)]],MATCH('Input_APM (Zenith)'!F136,Table2[[#All],[De (Lote)]],0)),'Input_APM (Zenith)'!F136))</f>
        <v/>
      </c>
      <c r="M136" s="209" t="str">
        <f t="shared" si="9"/>
        <v/>
      </c>
      <c r="N136" s="210" t="str">
        <f t="shared" si="10"/>
        <v/>
      </c>
      <c r="O136" s="210" t="str">
        <f t="shared" si="11"/>
        <v/>
      </c>
    </row>
    <row r="137" spans="11:15">
      <c r="K137" s="209" t="str">
        <f t="shared" si="8"/>
        <v/>
      </c>
      <c r="L137" s="209" t="str">
        <f>IF(E137="","",IF(COUNTIFS(Table2[[#All],[De (Lote)]],'Input_APM (Zenith)'!F137)&gt;0,INDEX(Table2[[#All],[Para (Ticker Daniel)]],MATCH('Input_APM (Zenith)'!F137,Table2[[#All],[De (Lote)]],0)),'Input_APM (Zenith)'!F137))</f>
        <v/>
      </c>
      <c r="M137" s="209" t="str">
        <f t="shared" si="9"/>
        <v/>
      </c>
      <c r="N137" s="210" t="str">
        <f t="shared" si="10"/>
        <v/>
      </c>
      <c r="O137" s="210" t="str">
        <f t="shared" si="11"/>
        <v/>
      </c>
    </row>
    <row r="138" spans="11:15">
      <c r="K138" s="209" t="str">
        <f t="shared" si="8"/>
        <v/>
      </c>
      <c r="L138" s="209" t="str">
        <f>IF(E138="","",IF(COUNTIFS(Table2[[#All],[De (Lote)]],'Input_APM (Zenith)'!F138)&gt;0,INDEX(Table2[[#All],[Para (Ticker Daniel)]],MATCH('Input_APM (Zenith)'!F138,Table2[[#All],[De (Lote)]],0)),'Input_APM (Zenith)'!F138))</f>
        <v/>
      </c>
      <c r="M138" s="209" t="str">
        <f t="shared" si="9"/>
        <v/>
      </c>
      <c r="N138" s="210" t="str">
        <f t="shared" si="10"/>
        <v/>
      </c>
      <c r="O138" s="210" t="str">
        <f t="shared" si="11"/>
        <v/>
      </c>
    </row>
    <row r="139" spans="11:15">
      <c r="K139" s="209" t="str">
        <f t="shared" si="8"/>
        <v/>
      </c>
      <c r="L139" s="209" t="str">
        <f>IF(E139="","",IF(COUNTIFS(Table2[[#All],[De (Lote)]],'Input_APM (Zenith)'!F139)&gt;0,INDEX(Table2[[#All],[Para (Ticker Daniel)]],MATCH('Input_APM (Zenith)'!F139,Table2[[#All],[De (Lote)]],0)),'Input_APM (Zenith)'!F139))</f>
        <v/>
      </c>
      <c r="M139" s="209" t="str">
        <f t="shared" si="9"/>
        <v/>
      </c>
      <c r="N139" s="210" t="str">
        <f t="shared" si="10"/>
        <v/>
      </c>
      <c r="O139" s="210" t="str">
        <f t="shared" si="11"/>
        <v/>
      </c>
    </row>
    <row r="140" spans="11:15">
      <c r="K140" s="209" t="str">
        <f t="shared" si="8"/>
        <v/>
      </c>
      <c r="L140" s="209" t="str">
        <f>IF(E140="","",IF(COUNTIFS(Table2[[#All],[De (Lote)]],'Input_APM (Zenith)'!F140)&gt;0,INDEX(Table2[[#All],[Para (Ticker Daniel)]],MATCH('Input_APM (Zenith)'!F140,Table2[[#All],[De (Lote)]],0)),'Input_APM (Zenith)'!F140))</f>
        <v/>
      </c>
      <c r="M140" s="209" t="str">
        <f t="shared" si="9"/>
        <v/>
      </c>
      <c r="N140" s="210" t="str">
        <f t="shared" si="10"/>
        <v/>
      </c>
      <c r="O140" s="210" t="str">
        <f t="shared" si="11"/>
        <v/>
      </c>
    </row>
    <row r="141" spans="11:15">
      <c r="K141" s="209" t="str">
        <f t="shared" si="8"/>
        <v/>
      </c>
      <c r="L141" s="209" t="str">
        <f>IF(E141="","",IF(COUNTIFS(Table2[[#All],[De (Lote)]],'Input_APM (Zenith)'!F141)&gt;0,INDEX(Table2[[#All],[Para (Ticker Daniel)]],MATCH('Input_APM (Zenith)'!F141,Table2[[#All],[De (Lote)]],0)),'Input_APM (Zenith)'!F141))</f>
        <v/>
      </c>
      <c r="M141" s="209" t="str">
        <f t="shared" si="9"/>
        <v/>
      </c>
      <c r="N141" s="210" t="str">
        <f t="shared" si="10"/>
        <v/>
      </c>
      <c r="O141" s="210" t="str">
        <f t="shared" si="11"/>
        <v/>
      </c>
    </row>
    <row r="142" spans="11:15">
      <c r="K142" s="209" t="str">
        <f t="shared" si="8"/>
        <v/>
      </c>
      <c r="L142" s="209" t="str">
        <f>IF(E142="","",IF(COUNTIFS(Table2[[#All],[De (Lote)]],'Input_APM (Zenith)'!F142)&gt;0,INDEX(Table2[[#All],[Para (Ticker Daniel)]],MATCH('Input_APM (Zenith)'!F142,Table2[[#All],[De (Lote)]],0)),'Input_APM (Zenith)'!F142))</f>
        <v/>
      </c>
      <c r="M142" s="209" t="str">
        <f t="shared" si="9"/>
        <v/>
      </c>
      <c r="N142" s="210" t="str">
        <f t="shared" si="10"/>
        <v/>
      </c>
      <c r="O142" s="210" t="str">
        <f t="shared" si="11"/>
        <v/>
      </c>
    </row>
    <row r="143" spans="11:15">
      <c r="K143" s="209" t="str">
        <f t="shared" si="8"/>
        <v/>
      </c>
      <c r="L143" s="209" t="str">
        <f>IF(E143="","",IF(COUNTIFS(Table2[[#All],[De (Lote)]],'Input_APM (Zenith)'!F143)&gt;0,INDEX(Table2[[#All],[Para (Ticker Daniel)]],MATCH('Input_APM (Zenith)'!F143,Table2[[#All],[De (Lote)]],0)),'Input_APM (Zenith)'!F143))</f>
        <v/>
      </c>
      <c r="M143" s="209" t="str">
        <f t="shared" si="9"/>
        <v/>
      </c>
      <c r="N143" s="210" t="str">
        <f t="shared" si="10"/>
        <v/>
      </c>
      <c r="O143" s="210" t="str">
        <f t="shared" si="11"/>
        <v/>
      </c>
    </row>
    <row r="144" spans="11:15">
      <c r="K144" s="209" t="str">
        <f t="shared" si="8"/>
        <v/>
      </c>
      <c r="L144" s="209" t="str">
        <f>IF(E144="","",IF(COUNTIFS(Table2[[#All],[De (Lote)]],'Input_APM (Zenith)'!F144)&gt;0,INDEX(Table2[[#All],[Para (Ticker Daniel)]],MATCH('Input_APM (Zenith)'!F144,Table2[[#All],[De (Lote)]],0)),'Input_APM (Zenith)'!F144))</f>
        <v/>
      </c>
      <c r="M144" s="209" t="str">
        <f t="shared" si="9"/>
        <v/>
      </c>
      <c r="N144" s="210" t="str">
        <f t="shared" si="10"/>
        <v/>
      </c>
      <c r="O144" s="210" t="str">
        <f t="shared" si="11"/>
        <v/>
      </c>
    </row>
    <row r="145" spans="11:15">
      <c r="K145" s="209" t="str">
        <f t="shared" si="8"/>
        <v/>
      </c>
      <c r="L145" s="209" t="str">
        <f>IF(E145="","",IF(COUNTIFS(Table2[[#All],[De (Lote)]],'Input_APM (Zenith)'!F145)&gt;0,INDEX(Table2[[#All],[Para (Ticker Daniel)]],MATCH('Input_APM (Zenith)'!F145,Table2[[#All],[De (Lote)]],0)),'Input_APM (Zenith)'!F145))</f>
        <v/>
      </c>
      <c r="M145" s="209" t="str">
        <f t="shared" si="9"/>
        <v/>
      </c>
      <c r="N145" s="210" t="str">
        <f t="shared" si="10"/>
        <v/>
      </c>
      <c r="O145" s="210" t="str">
        <f t="shared" si="11"/>
        <v/>
      </c>
    </row>
    <row r="146" spans="11:15">
      <c r="K146" s="209" t="str">
        <f t="shared" si="8"/>
        <v/>
      </c>
      <c r="L146" s="209" t="str">
        <f>IF(E146="","",IF(COUNTIFS(Table2[[#All],[De (Lote)]],'Input_APM (Zenith)'!F146)&gt;0,INDEX(Table2[[#All],[Para (Ticker Daniel)]],MATCH('Input_APM (Zenith)'!F146,Table2[[#All],[De (Lote)]],0)),'Input_APM (Zenith)'!F146))</f>
        <v/>
      </c>
      <c r="M146" s="209" t="str">
        <f t="shared" si="9"/>
        <v/>
      </c>
      <c r="N146" s="210" t="str">
        <f t="shared" si="10"/>
        <v/>
      </c>
      <c r="O146" s="210" t="str">
        <f t="shared" si="11"/>
        <v/>
      </c>
    </row>
    <row r="147" spans="11:15">
      <c r="K147" s="209" t="str">
        <f t="shared" si="8"/>
        <v/>
      </c>
      <c r="L147" s="209" t="str">
        <f>IF(E147="","",IF(COUNTIFS(Table2[[#All],[De (Lote)]],'Input_APM (Zenith)'!F147)&gt;0,INDEX(Table2[[#All],[Para (Ticker Daniel)]],MATCH('Input_APM (Zenith)'!F147,Table2[[#All],[De (Lote)]],0)),'Input_APM (Zenith)'!F147))</f>
        <v/>
      </c>
      <c r="M147" s="209" t="str">
        <f t="shared" si="9"/>
        <v/>
      </c>
      <c r="N147" s="210" t="str">
        <f t="shared" si="10"/>
        <v/>
      </c>
      <c r="O147" s="210" t="str">
        <f t="shared" si="11"/>
        <v/>
      </c>
    </row>
    <row r="148" spans="11:15">
      <c r="K148" s="209" t="str">
        <f t="shared" si="8"/>
        <v/>
      </c>
      <c r="L148" s="209" t="str">
        <f>IF(E148="","",IF(COUNTIFS(Table2[[#All],[De (Lote)]],'Input_APM (Zenith)'!F148)&gt;0,INDEX(Table2[[#All],[Para (Ticker Daniel)]],MATCH('Input_APM (Zenith)'!F148,Table2[[#All],[De (Lote)]],0)),'Input_APM (Zenith)'!F148))</f>
        <v/>
      </c>
      <c r="M148" s="209" t="str">
        <f t="shared" si="9"/>
        <v/>
      </c>
      <c r="N148" s="210" t="str">
        <f t="shared" si="10"/>
        <v/>
      </c>
      <c r="O148" s="210" t="str">
        <f t="shared" si="11"/>
        <v/>
      </c>
    </row>
    <row r="149" spans="11:15">
      <c r="K149" s="209" t="str">
        <f t="shared" ref="K149:K156" si="12">IF(E149="","",E149)</f>
        <v/>
      </c>
      <c r="L149" s="209" t="str">
        <f>IF(E149="","",IF(COUNTIFS(Table2[[#All],[De (Lote)]],'Input_APM (Zenith)'!F149)&gt;0,INDEX(Table2[[#All],[Para (Ticker Daniel)]],MATCH('Input_APM (Zenith)'!F149,Table2[[#All],[De (Lote)]],0)),'Input_APM (Zenith)'!F149))</f>
        <v/>
      </c>
      <c r="M149" s="209" t="str">
        <f t="shared" ref="M149:M156" si="13">IF(E149="","",G149)</f>
        <v/>
      </c>
      <c r="N149" s="210" t="str">
        <f t="shared" ref="N149:N156" si="14">IF(E149="","",H149)</f>
        <v/>
      </c>
      <c r="O149" s="210" t="str">
        <f t="shared" ref="O149:O156" si="15">IF(E149="","",I149)</f>
        <v/>
      </c>
    </row>
    <row r="150" spans="11:15">
      <c r="K150" s="209" t="str">
        <f t="shared" si="12"/>
        <v/>
      </c>
      <c r="L150" s="209" t="str">
        <f>IF(E150="","",IF(COUNTIFS(Table2[[#All],[De (Lote)]],'Input_APM (Zenith)'!F150)&gt;0,INDEX(Table2[[#All],[Para (Ticker Daniel)]],MATCH('Input_APM (Zenith)'!F150,Table2[[#All],[De (Lote)]],0)),'Input_APM (Zenith)'!F150))</f>
        <v/>
      </c>
      <c r="M150" s="209" t="str">
        <f t="shared" si="13"/>
        <v/>
      </c>
      <c r="N150" s="210" t="str">
        <f t="shared" si="14"/>
        <v/>
      </c>
      <c r="O150" s="210" t="str">
        <f t="shared" si="15"/>
        <v/>
      </c>
    </row>
    <row r="151" spans="11:15">
      <c r="K151" s="209" t="str">
        <f t="shared" si="12"/>
        <v/>
      </c>
      <c r="L151" s="209" t="str">
        <f>IF(E151="","",IF(COUNTIFS(Table2[[#All],[De (Lote)]],'Input_APM (Zenith)'!F151)&gt;0,INDEX(Table2[[#All],[Para (Ticker Daniel)]],MATCH('Input_APM (Zenith)'!F151,Table2[[#All],[De (Lote)]],0)),'Input_APM (Zenith)'!F151))</f>
        <v/>
      </c>
      <c r="M151" s="209" t="str">
        <f t="shared" si="13"/>
        <v/>
      </c>
      <c r="N151" s="210" t="str">
        <f t="shared" si="14"/>
        <v/>
      </c>
      <c r="O151" s="210" t="str">
        <f t="shared" si="15"/>
        <v/>
      </c>
    </row>
    <row r="152" spans="11:15">
      <c r="K152" s="209" t="str">
        <f t="shared" si="12"/>
        <v/>
      </c>
      <c r="L152" s="209" t="str">
        <f>IF(E152="","",IF(COUNTIFS(Table2[[#All],[De (Lote)]],'Input_APM (Zenith)'!F152)&gt;0,INDEX(Table2[[#All],[Para (Ticker Daniel)]],MATCH('Input_APM (Zenith)'!F152,Table2[[#All],[De (Lote)]],0)),'Input_APM (Zenith)'!F152))</f>
        <v/>
      </c>
      <c r="M152" s="209" t="str">
        <f t="shared" si="13"/>
        <v/>
      </c>
      <c r="N152" s="210" t="str">
        <f t="shared" si="14"/>
        <v/>
      </c>
      <c r="O152" s="210" t="str">
        <f t="shared" si="15"/>
        <v/>
      </c>
    </row>
    <row r="153" spans="11:15">
      <c r="K153" s="209" t="str">
        <f t="shared" si="12"/>
        <v/>
      </c>
      <c r="L153" s="209" t="str">
        <f>IF(E153="","",IF(COUNTIFS(Table2[[#All],[De (Lote)]],'Input_APM (Zenith)'!F153)&gt;0,INDEX(Table2[[#All],[Para (Ticker Daniel)]],MATCH('Input_APM (Zenith)'!F153,Table2[[#All],[De (Lote)]],0)),'Input_APM (Zenith)'!F153))</f>
        <v/>
      </c>
      <c r="M153" s="209" t="str">
        <f t="shared" si="13"/>
        <v/>
      </c>
      <c r="N153" s="210" t="str">
        <f t="shared" si="14"/>
        <v/>
      </c>
      <c r="O153" s="210" t="str">
        <f t="shared" si="15"/>
        <v/>
      </c>
    </row>
    <row r="154" spans="11:15">
      <c r="K154" s="209" t="str">
        <f t="shared" si="12"/>
        <v/>
      </c>
      <c r="L154" s="209" t="str">
        <f>IF(E154="","",IF(COUNTIFS(Table2[[#All],[De (Lote)]],'Input_APM (Zenith)'!F154)&gt;0,INDEX(Table2[[#All],[Para (Ticker Daniel)]],MATCH('Input_APM (Zenith)'!F154,Table2[[#All],[De (Lote)]],0)),'Input_APM (Zenith)'!F154))</f>
        <v/>
      </c>
      <c r="M154" s="209" t="str">
        <f t="shared" si="13"/>
        <v/>
      </c>
      <c r="N154" s="210" t="str">
        <f t="shared" si="14"/>
        <v/>
      </c>
      <c r="O154" s="210" t="str">
        <f t="shared" si="15"/>
        <v/>
      </c>
    </row>
    <row r="155" spans="11:15">
      <c r="K155" s="209" t="str">
        <f t="shared" si="12"/>
        <v/>
      </c>
      <c r="L155" s="209" t="str">
        <f>IF(E155="","",IF(COUNTIFS(Table2[[#All],[De (Lote)]],'Input_APM (Zenith)'!F155)&gt;0,INDEX(Table2[[#All],[Para (Ticker Daniel)]],MATCH('Input_APM (Zenith)'!F155,Table2[[#All],[De (Lote)]],0)),'Input_APM (Zenith)'!F155))</f>
        <v/>
      </c>
      <c r="M155" s="209" t="str">
        <f t="shared" si="13"/>
        <v/>
      </c>
      <c r="N155" s="210" t="str">
        <f t="shared" si="14"/>
        <v/>
      </c>
      <c r="O155" s="210" t="str">
        <f t="shared" si="15"/>
        <v/>
      </c>
    </row>
    <row r="156" spans="11:15">
      <c r="K156" s="209" t="str">
        <f t="shared" si="12"/>
        <v/>
      </c>
      <c r="L156" s="209" t="str">
        <f>IF(E156="","",IF(COUNTIFS(Table2[[#All],[De (Lote)]],'Input_APM (Zenith)'!F156)&gt;0,INDEX(Table2[[#All],[Para (Ticker Daniel)]],MATCH('Input_APM (Zenith)'!F156,Table2[[#All],[De (Lote)]],0)),'Input_APM (Zenith)'!F156))</f>
        <v/>
      </c>
      <c r="M156" s="209" t="str">
        <f t="shared" si="13"/>
        <v/>
      </c>
      <c r="N156" s="210" t="str">
        <f t="shared" si="14"/>
        <v/>
      </c>
      <c r="O156" s="210" t="str">
        <f t="shared" si="15"/>
        <v/>
      </c>
    </row>
    <row r="157" spans="11:15">
      <c r="K157" s="209" t="str">
        <f>IF(E157="","",E157)</f>
        <v/>
      </c>
      <c r="L157" s="209" t="str">
        <f>IF(E157="","",IF(COUNTIFS(Table2[[#All],[De (Lote)]],'Input_APM (Zenith)'!F157)&gt;0,INDEX(Table2[[#All],[Para (Ticker Daniel)]],MATCH('Input_APM (Zenith)'!F157,Table2[[#All],[De (Lote)]],0)),'Input_APM (Zenith)'!F157))</f>
        <v/>
      </c>
      <c r="M157" s="209" t="str">
        <f>IF(E157="","",G157)</f>
        <v/>
      </c>
      <c r="N157" s="210" t="str">
        <f>IF(E157="","",H157)</f>
        <v/>
      </c>
      <c r="O157" s="210" t="str">
        <f>IF(E157="","",I157)</f>
        <v/>
      </c>
    </row>
    <row r="158" spans="11:15">
      <c r="K158" s="209" t="str">
        <f>IF(E158="","",E158)</f>
        <v/>
      </c>
      <c r="L158" s="209" t="str">
        <f>IF(E158="","",IF(COUNTIFS(Table2[[#All],[De (Lote)]],'Input_APM (Zenith)'!F158)&gt;0,INDEX(Table2[[#All],[Para (Ticker Daniel)]],MATCH('Input_APM (Zenith)'!F158,Table2[[#All],[De (Lote)]],0)),'Input_APM (Zenith)'!F158))</f>
        <v/>
      </c>
      <c r="M158" s="209" t="str">
        <f>IF(E158="","",G158)</f>
        <v/>
      </c>
      <c r="N158" s="210" t="str">
        <f>IF(E158="","",H158)</f>
        <v/>
      </c>
      <c r="O158" s="210" t="str">
        <f>IF(E158="","",I158)</f>
        <v/>
      </c>
    </row>
    <row r="159" spans="11:15">
      <c r="K159" s="209" t="str">
        <f>IF(E159="","",E159)</f>
        <v/>
      </c>
      <c r="L159" s="209" t="str">
        <f>IF(E159="","",IF(COUNTIFS(Table2[[#All],[De (Lote)]],'Input_APM (Zenith)'!F159)&gt;0,INDEX(Table2[[#All],[Para (Ticker Daniel)]],MATCH('Input_APM (Zenith)'!F159,Table2[[#All],[De (Lote)]],0)),'Input_APM (Zenith)'!F159))</f>
        <v/>
      </c>
      <c r="M159" s="209" t="str">
        <f>IF(E159="","",G159)</f>
        <v/>
      </c>
      <c r="N159" s="210" t="str">
        <f>IF(E159="","",H159)</f>
        <v/>
      </c>
      <c r="O159" s="210" t="str">
        <f>IF(E159="","",I159)</f>
        <v/>
      </c>
    </row>
    <row r="160" spans="11:15">
      <c r="K160" s="209" t="str">
        <f>IF(E160="","",E160)</f>
        <v/>
      </c>
      <c r="L160" s="209" t="str">
        <f>IF(E160="","",IF(COUNTIFS(Table2[[#All],[De (Lote)]],'Input_APM (Zenith)'!F160)&gt;0,INDEX(Table2[[#All],[Para (Ticker Daniel)]],MATCH('Input_APM (Zenith)'!F160,Table2[[#All],[De (Lote)]],0)),'Input_APM (Zenith)'!F160))</f>
        <v/>
      </c>
      <c r="M160" s="209" t="str">
        <f>IF(E160="","",G160)</f>
        <v/>
      </c>
      <c r="N160" s="210" t="str">
        <f>IF(E160="","",H160)</f>
        <v/>
      </c>
      <c r="O160" s="210" t="str">
        <f>IF(E160="","",I160)</f>
        <v/>
      </c>
    </row>
    <row r="161" spans="11:15">
      <c r="K161" s="209" t="str">
        <f>IF(E161="","",E161)</f>
        <v/>
      </c>
      <c r="L161" s="209" t="str">
        <f>IF(E161="","",IF(COUNTIFS(Table2[[#All],[De (Lote)]],'Input_APM (Zenith)'!F161)&gt;0,INDEX(Table2[[#All],[Para (Ticker Daniel)]],MATCH('Input_APM (Zenith)'!F161,Table2[[#All],[De (Lote)]],0)),'Input_APM (Zenith)'!F161))</f>
        <v/>
      </c>
      <c r="M161" s="209" t="str">
        <f>IF(E161="","",G161)</f>
        <v/>
      </c>
      <c r="N161" s="210" t="str">
        <f>IF(E161="","",H161)</f>
        <v/>
      </c>
      <c r="O161" s="210" t="str">
        <f>IF(E161="","",I161)</f>
        <v/>
      </c>
    </row>
    <row r="162" spans="11:15">
      <c r="K162" s="209" t="str">
        <f t="shared" ref="K162:K183" si="16">IF(E162="","",E162)</f>
        <v/>
      </c>
      <c r="L162" s="209" t="str">
        <f>IF(E162="","",IF(COUNTIFS(Table2[[#All],[De (Lote)]],'Input_APM (Zenith)'!F162)&gt;0,INDEX(Table2[[#All],[Para (Ticker Daniel)]],MATCH('Input_APM (Zenith)'!F162,Table2[[#All],[De (Lote)]],0)),'Input_APM (Zenith)'!F162))</f>
        <v/>
      </c>
      <c r="M162" s="209" t="str">
        <f t="shared" ref="M162:M183" si="17">IF(E162="","",G162)</f>
        <v/>
      </c>
      <c r="N162" s="210" t="str">
        <f t="shared" ref="N162:N183" si="18">IF(E162="","",H162)</f>
        <v/>
      </c>
      <c r="O162" s="210" t="str">
        <f t="shared" ref="O162:O183" si="19">IF(E162="","",I162)</f>
        <v/>
      </c>
    </row>
    <row r="163" spans="11:15">
      <c r="K163" s="209" t="str">
        <f t="shared" si="16"/>
        <v/>
      </c>
      <c r="L163" s="209" t="str">
        <f>IF(E163="","",IF(COUNTIFS(Table2[[#All],[De (Lote)]],'Input_APM (Zenith)'!F163)&gt;0,INDEX(Table2[[#All],[Para (Ticker Daniel)]],MATCH('Input_APM (Zenith)'!F163,Table2[[#All],[De (Lote)]],0)),'Input_APM (Zenith)'!F163))</f>
        <v/>
      </c>
      <c r="M163" s="209" t="str">
        <f t="shared" si="17"/>
        <v/>
      </c>
      <c r="N163" s="210" t="str">
        <f t="shared" si="18"/>
        <v/>
      </c>
      <c r="O163" s="210" t="str">
        <f t="shared" si="19"/>
        <v/>
      </c>
    </row>
    <row r="164" spans="11:15">
      <c r="K164" s="209" t="str">
        <f t="shared" si="16"/>
        <v/>
      </c>
      <c r="L164" s="209" t="str">
        <f>IF(E164="","",IF(COUNTIFS(Table2[[#All],[De (Lote)]],'Input_APM (Zenith)'!F164)&gt;0,INDEX(Table2[[#All],[Para (Ticker Daniel)]],MATCH('Input_APM (Zenith)'!F164,Table2[[#All],[De (Lote)]],0)),'Input_APM (Zenith)'!F164))</f>
        <v/>
      </c>
      <c r="M164" s="209" t="str">
        <f t="shared" si="17"/>
        <v/>
      </c>
      <c r="N164" s="210" t="str">
        <f t="shared" si="18"/>
        <v/>
      </c>
      <c r="O164" s="210" t="str">
        <f t="shared" si="19"/>
        <v/>
      </c>
    </row>
    <row r="165" spans="11:15">
      <c r="K165" s="209" t="str">
        <f t="shared" si="16"/>
        <v/>
      </c>
      <c r="L165" s="209" t="str">
        <f>IF(E165="","",IF(COUNTIFS(Table2[[#All],[De (Lote)]],'Input_APM (Zenith)'!F165)&gt;0,INDEX(Table2[[#All],[Para (Ticker Daniel)]],MATCH('Input_APM (Zenith)'!F165,Table2[[#All],[De (Lote)]],0)),'Input_APM (Zenith)'!F165))</f>
        <v/>
      </c>
      <c r="M165" s="209" t="str">
        <f t="shared" si="17"/>
        <v/>
      </c>
      <c r="N165" s="210" t="str">
        <f t="shared" si="18"/>
        <v/>
      </c>
      <c r="O165" s="210" t="str">
        <f t="shared" si="19"/>
        <v/>
      </c>
    </row>
    <row r="166" spans="11:15">
      <c r="K166" s="209" t="str">
        <f t="shared" si="16"/>
        <v/>
      </c>
      <c r="L166" s="209" t="str">
        <f>IF(E166="","",IF(COUNTIFS(Table2[[#All],[De (Lote)]],'Input_APM (Zenith)'!F166)&gt;0,INDEX(Table2[[#All],[Para (Ticker Daniel)]],MATCH('Input_APM (Zenith)'!F166,Table2[[#All],[De (Lote)]],0)),'Input_APM (Zenith)'!F166))</f>
        <v/>
      </c>
      <c r="M166" s="209" t="str">
        <f t="shared" si="17"/>
        <v/>
      </c>
      <c r="N166" s="210" t="str">
        <f t="shared" si="18"/>
        <v/>
      </c>
      <c r="O166" s="210" t="str">
        <f t="shared" si="19"/>
        <v/>
      </c>
    </row>
    <row r="167" spans="11:15">
      <c r="K167" s="209" t="str">
        <f t="shared" si="16"/>
        <v/>
      </c>
      <c r="L167" s="209" t="str">
        <f>IF(E167="","",IF(COUNTIFS(Table2[[#All],[De (Lote)]],'Input_APM (Zenith)'!F167)&gt;0,INDEX(Table2[[#All],[Para (Ticker Daniel)]],MATCH('Input_APM (Zenith)'!F167,Table2[[#All],[De (Lote)]],0)),'Input_APM (Zenith)'!F167))</f>
        <v/>
      </c>
      <c r="M167" s="209" t="str">
        <f t="shared" si="17"/>
        <v/>
      </c>
      <c r="N167" s="210" t="str">
        <f t="shared" si="18"/>
        <v/>
      </c>
      <c r="O167" s="210" t="str">
        <f t="shared" si="19"/>
        <v/>
      </c>
    </row>
    <row r="168" spans="11:15">
      <c r="K168" s="209" t="str">
        <f t="shared" si="16"/>
        <v/>
      </c>
      <c r="L168" s="209" t="str">
        <f>IF(E168="","",IF(COUNTIFS(Table2[[#All],[De (Lote)]],'Input_APM (Zenith)'!F168)&gt;0,INDEX(Table2[[#All],[Para (Ticker Daniel)]],MATCH('Input_APM (Zenith)'!F168,Table2[[#All],[De (Lote)]],0)),'Input_APM (Zenith)'!F168))</f>
        <v/>
      </c>
      <c r="M168" s="209" t="str">
        <f t="shared" si="17"/>
        <v/>
      </c>
      <c r="N168" s="210" t="str">
        <f t="shared" si="18"/>
        <v/>
      </c>
      <c r="O168" s="210" t="str">
        <f t="shared" si="19"/>
        <v/>
      </c>
    </row>
    <row r="169" spans="11:15">
      <c r="K169" s="209" t="str">
        <f t="shared" si="16"/>
        <v/>
      </c>
      <c r="L169" s="209" t="str">
        <f>IF(E169="","",IF(COUNTIFS(Table2[[#All],[De (Lote)]],'Input_APM (Zenith)'!F169)&gt;0,INDEX(Table2[[#All],[Para (Ticker Daniel)]],MATCH('Input_APM (Zenith)'!F169,Table2[[#All],[De (Lote)]],0)),'Input_APM (Zenith)'!F169))</f>
        <v/>
      </c>
      <c r="M169" s="209" t="str">
        <f t="shared" si="17"/>
        <v/>
      </c>
      <c r="N169" s="210" t="str">
        <f t="shared" si="18"/>
        <v/>
      </c>
      <c r="O169" s="210" t="str">
        <f t="shared" si="19"/>
        <v/>
      </c>
    </row>
    <row r="170" spans="11:15">
      <c r="K170" s="209" t="str">
        <f t="shared" si="16"/>
        <v/>
      </c>
      <c r="L170" s="209" t="str">
        <f>IF(E170="","",IF(COUNTIFS(Table2[[#All],[De (Lote)]],'Input_APM (Zenith)'!F170)&gt;0,INDEX(Table2[[#All],[Para (Ticker Daniel)]],MATCH('Input_APM (Zenith)'!F170,Table2[[#All],[De (Lote)]],0)),'Input_APM (Zenith)'!F170))</f>
        <v/>
      </c>
      <c r="M170" s="209" t="str">
        <f t="shared" si="17"/>
        <v/>
      </c>
      <c r="N170" s="210" t="str">
        <f t="shared" si="18"/>
        <v/>
      </c>
      <c r="O170" s="210" t="str">
        <f t="shared" si="19"/>
        <v/>
      </c>
    </row>
    <row r="171" spans="11:15">
      <c r="K171" s="209" t="str">
        <f t="shared" si="16"/>
        <v/>
      </c>
      <c r="L171" s="209" t="str">
        <f>IF(E171="","",IF(COUNTIFS(Table2[[#All],[De (Lote)]],'Input_APM (Zenith)'!F171)&gt;0,INDEX(Table2[[#All],[Para (Ticker Daniel)]],MATCH('Input_APM (Zenith)'!F171,Table2[[#All],[De (Lote)]],0)),'Input_APM (Zenith)'!F171))</f>
        <v/>
      </c>
      <c r="M171" s="209" t="str">
        <f t="shared" si="17"/>
        <v/>
      </c>
      <c r="N171" s="210" t="str">
        <f t="shared" si="18"/>
        <v/>
      </c>
      <c r="O171" s="210" t="str">
        <f t="shared" si="19"/>
        <v/>
      </c>
    </row>
    <row r="172" spans="11:15">
      <c r="K172" s="209" t="str">
        <f t="shared" si="16"/>
        <v/>
      </c>
      <c r="L172" s="209" t="str">
        <f>IF(E172="","",IF(COUNTIFS(Table2[[#All],[De (Lote)]],'Input_APM (Zenith)'!F172)&gt;0,INDEX(Table2[[#All],[Para (Ticker Daniel)]],MATCH('Input_APM (Zenith)'!F172,Table2[[#All],[De (Lote)]],0)),'Input_APM (Zenith)'!F172))</f>
        <v/>
      </c>
      <c r="M172" s="209" t="str">
        <f t="shared" si="17"/>
        <v/>
      </c>
      <c r="N172" s="210" t="str">
        <f t="shared" si="18"/>
        <v/>
      </c>
      <c r="O172" s="210" t="str">
        <f t="shared" si="19"/>
        <v/>
      </c>
    </row>
    <row r="173" spans="11:15">
      <c r="K173" s="209" t="str">
        <f t="shared" si="16"/>
        <v/>
      </c>
      <c r="L173" s="209" t="str">
        <f>IF(E173="","",IF(COUNTIFS(Table2[[#All],[De (Lote)]],'Input_APM (Zenith)'!F173)&gt;0,INDEX(Table2[[#All],[Para (Ticker Daniel)]],MATCH('Input_APM (Zenith)'!F173,Table2[[#All],[De (Lote)]],0)),'Input_APM (Zenith)'!F173))</f>
        <v/>
      </c>
      <c r="M173" s="209" t="str">
        <f t="shared" si="17"/>
        <v/>
      </c>
      <c r="N173" s="210" t="str">
        <f t="shared" si="18"/>
        <v/>
      </c>
      <c r="O173" s="210" t="str">
        <f t="shared" si="19"/>
        <v/>
      </c>
    </row>
    <row r="174" spans="11:15">
      <c r="K174" s="209" t="str">
        <f t="shared" si="16"/>
        <v/>
      </c>
      <c r="L174" s="209" t="str">
        <f>IF(E174="","",IF(COUNTIFS(Table2[[#All],[De (Lote)]],'Input_APM (Zenith)'!F174)&gt;0,INDEX(Table2[[#All],[Para (Ticker Daniel)]],MATCH('Input_APM (Zenith)'!F174,Table2[[#All],[De (Lote)]],0)),'Input_APM (Zenith)'!F174))</f>
        <v/>
      </c>
      <c r="M174" s="209" t="str">
        <f t="shared" si="17"/>
        <v/>
      </c>
      <c r="N174" s="210" t="str">
        <f t="shared" si="18"/>
        <v/>
      </c>
      <c r="O174" s="210" t="str">
        <f t="shared" si="19"/>
        <v/>
      </c>
    </row>
    <row r="175" spans="11:15">
      <c r="K175" s="209" t="str">
        <f t="shared" si="16"/>
        <v/>
      </c>
      <c r="L175" s="209" t="str">
        <f>IF(E175="","",IF(COUNTIFS(Table2[[#All],[De (Lote)]],'Input_APM (Zenith)'!F175)&gt;0,INDEX(Table2[[#All],[Para (Ticker Daniel)]],MATCH('Input_APM (Zenith)'!F175,Table2[[#All],[De (Lote)]],0)),'Input_APM (Zenith)'!F175))</f>
        <v/>
      </c>
      <c r="M175" s="209" t="str">
        <f t="shared" si="17"/>
        <v/>
      </c>
      <c r="N175" s="210" t="str">
        <f t="shared" si="18"/>
        <v/>
      </c>
      <c r="O175" s="210" t="str">
        <f t="shared" si="19"/>
        <v/>
      </c>
    </row>
    <row r="176" spans="11:15">
      <c r="K176" s="209" t="str">
        <f t="shared" si="16"/>
        <v/>
      </c>
      <c r="L176" s="209" t="str">
        <f>IF(E176="","",IF(COUNTIFS(Table2[[#All],[De (Lote)]],'Input_APM (Zenith)'!F176)&gt;0,INDEX(Table2[[#All],[Para (Ticker Daniel)]],MATCH('Input_APM (Zenith)'!F176,Table2[[#All],[De (Lote)]],0)),'Input_APM (Zenith)'!F176))</f>
        <v/>
      </c>
      <c r="M176" s="209" t="str">
        <f t="shared" si="17"/>
        <v/>
      </c>
      <c r="N176" s="210" t="str">
        <f t="shared" si="18"/>
        <v/>
      </c>
      <c r="O176" s="210" t="str">
        <f t="shared" si="19"/>
        <v/>
      </c>
    </row>
    <row r="177" spans="11:15">
      <c r="K177" s="209" t="str">
        <f t="shared" si="16"/>
        <v/>
      </c>
      <c r="L177" s="209" t="str">
        <f>IF(E177="","",IF(COUNTIFS(Table2[[#All],[De (Lote)]],'Input_APM (Zenith)'!F177)&gt;0,INDEX(Table2[[#All],[Para (Ticker Daniel)]],MATCH('Input_APM (Zenith)'!F177,Table2[[#All],[De (Lote)]],0)),'Input_APM (Zenith)'!F177))</f>
        <v/>
      </c>
      <c r="M177" s="209" t="str">
        <f t="shared" si="17"/>
        <v/>
      </c>
      <c r="N177" s="210" t="str">
        <f t="shared" si="18"/>
        <v/>
      </c>
      <c r="O177" s="210" t="str">
        <f t="shared" si="19"/>
        <v/>
      </c>
    </row>
    <row r="178" spans="11:15">
      <c r="K178" s="209" t="str">
        <f t="shared" si="16"/>
        <v/>
      </c>
      <c r="L178" s="209" t="str">
        <f>IF(E178="","",IF(COUNTIFS(Table2[[#All],[De (Lote)]],'Input_APM (Zenith)'!F178)&gt;0,INDEX(Table2[[#All],[Para (Ticker Daniel)]],MATCH('Input_APM (Zenith)'!F178,Table2[[#All],[De (Lote)]],0)),'Input_APM (Zenith)'!F178))</f>
        <v/>
      </c>
      <c r="M178" s="209" t="str">
        <f t="shared" si="17"/>
        <v/>
      </c>
      <c r="N178" s="210" t="str">
        <f t="shared" si="18"/>
        <v/>
      </c>
      <c r="O178" s="210" t="str">
        <f t="shared" si="19"/>
        <v/>
      </c>
    </row>
    <row r="179" spans="11:15">
      <c r="K179" s="209" t="str">
        <f t="shared" si="16"/>
        <v/>
      </c>
      <c r="L179" s="209" t="str">
        <f>IF(E179="","",IF(COUNTIFS(Table2[[#All],[De (Lote)]],'Input_APM (Zenith)'!F179)&gt;0,INDEX(Table2[[#All],[Para (Ticker Daniel)]],MATCH('Input_APM (Zenith)'!F179,Table2[[#All],[De (Lote)]],0)),'Input_APM (Zenith)'!F179))</f>
        <v/>
      </c>
      <c r="M179" s="209" t="str">
        <f t="shared" si="17"/>
        <v/>
      </c>
      <c r="N179" s="210" t="str">
        <f t="shared" si="18"/>
        <v/>
      </c>
      <c r="O179" s="210" t="str">
        <f t="shared" si="19"/>
        <v/>
      </c>
    </row>
    <row r="180" spans="11:15">
      <c r="K180" s="209" t="str">
        <f t="shared" si="16"/>
        <v/>
      </c>
      <c r="L180" s="209" t="str">
        <f>IF(E180="","",IF(COUNTIFS(Table2[[#All],[De (Lote)]],'Input_APM (Zenith)'!F180)&gt;0,INDEX(Table2[[#All],[Para (Ticker Daniel)]],MATCH('Input_APM (Zenith)'!F180,Table2[[#All],[De (Lote)]],0)),'Input_APM (Zenith)'!F180))</f>
        <v/>
      </c>
      <c r="M180" s="209" t="str">
        <f t="shared" si="17"/>
        <v/>
      </c>
      <c r="N180" s="210" t="str">
        <f t="shared" si="18"/>
        <v/>
      </c>
      <c r="O180" s="210" t="str">
        <f t="shared" si="19"/>
        <v/>
      </c>
    </row>
    <row r="181" spans="11:15">
      <c r="K181" s="209" t="str">
        <f t="shared" si="16"/>
        <v/>
      </c>
      <c r="L181" s="209" t="str">
        <f>IF(E181="","",IF(COUNTIFS(Table2[[#All],[De (Lote)]],'Input_APM (Zenith)'!F181)&gt;0,INDEX(Table2[[#All],[Para (Ticker Daniel)]],MATCH('Input_APM (Zenith)'!F181,Table2[[#All],[De (Lote)]],0)),'Input_APM (Zenith)'!F181))</f>
        <v/>
      </c>
      <c r="M181" s="209" t="str">
        <f t="shared" si="17"/>
        <v/>
      </c>
      <c r="N181" s="210" t="str">
        <f t="shared" si="18"/>
        <v/>
      </c>
      <c r="O181" s="210" t="str">
        <f t="shared" si="19"/>
        <v/>
      </c>
    </row>
    <row r="182" spans="11:15">
      <c r="K182" s="209" t="str">
        <f t="shared" si="16"/>
        <v/>
      </c>
      <c r="L182" s="209" t="str">
        <f>IF(E182="","",IF(COUNTIFS(Table2[[#All],[De (Lote)]],'Input_APM (Zenith)'!F182)&gt;0,INDEX(Table2[[#All],[Para (Ticker Daniel)]],MATCH('Input_APM (Zenith)'!F182,Table2[[#All],[De (Lote)]],0)),'Input_APM (Zenith)'!F182))</f>
        <v/>
      </c>
      <c r="M182" s="209" t="str">
        <f t="shared" si="17"/>
        <v/>
      </c>
      <c r="N182" s="210" t="str">
        <f t="shared" si="18"/>
        <v/>
      </c>
      <c r="O182" s="210" t="str">
        <f t="shared" si="19"/>
        <v/>
      </c>
    </row>
    <row r="183" spans="11:15">
      <c r="K183" s="209" t="str">
        <f t="shared" si="16"/>
        <v/>
      </c>
      <c r="L183" s="209" t="str">
        <f>IF(E183="","",IF(COUNTIFS(Table2[[#All],[De (Lote)]],'Input_APM (Zenith)'!F183)&gt;0,INDEX(Table2[[#All],[Para (Ticker Daniel)]],MATCH('Input_APM (Zenith)'!F183,Table2[[#All],[De (Lote)]],0)),'Input_APM (Zenith)'!F183))</f>
        <v/>
      </c>
      <c r="M183" s="209" t="str">
        <f t="shared" si="17"/>
        <v/>
      </c>
      <c r="N183" s="210" t="str">
        <f t="shared" si="18"/>
        <v/>
      </c>
      <c r="O183" s="210" t="str">
        <f t="shared" si="19"/>
        <v/>
      </c>
    </row>
    <row r="184" spans="11:15">
      <c r="K184" s="209" t="str">
        <f>IF(E184="","",E184)</f>
        <v/>
      </c>
      <c r="L184" s="209" t="str">
        <f>IF(E184="","",IF(COUNTIFS(Table2[[#All],[De (Lote)]],'Input_APM (Zenith)'!F184)&gt;0,INDEX(Table2[[#All],[Para (Ticker Daniel)]],MATCH('Input_APM (Zenith)'!F184,Table2[[#All],[De (Lote)]],0)),'Input_APM (Zenith)'!F184))</f>
        <v/>
      </c>
      <c r="M184" s="209" t="str">
        <f>IF(E184="","",G184)</f>
        <v/>
      </c>
      <c r="N184" s="210" t="str">
        <f>IF(E184="","",H184)</f>
        <v/>
      </c>
      <c r="O184" s="210" t="str">
        <f>IF(E184="","",I184)</f>
        <v/>
      </c>
    </row>
    <row r="185" spans="11:15">
      <c r="K185" s="209" t="str">
        <f>IF(E185="","",E185)</f>
        <v/>
      </c>
      <c r="L185" s="209" t="str">
        <f>IF(E185="","",IF(COUNTIFS(Table2[[#All],[De (Lote)]],'Input_APM (Zenith)'!F185)&gt;0,INDEX(Table2[[#All],[Para (Ticker Daniel)]],MATCH('Input_APM (Zenith)'!F185,Table2[[#All],[De (Lote)]],0)),'Input_APM (Zenith)'!F185))</f>
        <v/>
      </c>
      <c r="M185" s="209" t="str">
        <f>IF(E185="","",G185)</f>
        <v/>
      </c>
      <c r="N185" s="210" t="str">
        <f>IF(E185="","",H185)</f>
        <v/>
      </c>
      <c r="O185" s="210" t="str">
        <f>IF(E185="","",I185)</f>
        <v/>
      </c>
    </row>
    <row r="186" spans="11:15">
      <c r="K186" s="209" t="str">
        <f>IF(E186="","",E186)</f>
        <v/>
      </c>
      <c r="L186" s="209" t="str">
        <f>IF(E186="","",IF(COUNTIFS(Table2[[#All],[De (Lote)]],'Input_APM (Zenith)'!F186)&gt;0,INDEX(Table2[[#All],[Para (Ticker Daniel)]],MATCH('Input_APM (Zenith)'!F186,Table2[[#All],[De (Lote)]],0)),'Input_APM (Zenith)'!F186))</f>
        <v/>
      </c>
      <c r="M186" s="209" t="str">
        <f>IF(E186="","",G186)</f>
        <v/>
      </c>
      <c r="N186" s="210" t="str">
        <f>IF(E186="","",H186)</f>
        <v/>
      </c>
      <c r="O186" s="210" t="str">
        <f>IF(E186="","",I186)</f>
        <v/>
      </c>
    </row>
    <row r="187" spans="11:15">
      <c r="K187" s="209" t="str">
        <f>IF(E187="","",E187)</f>
        <v/>
      </c>
      <c r="L187" s="209" t="str">
        <f>IF(E187="","",IF(COUNTIFS(Table2[[#All],[De (Lote)]],'Input_APM (Zenith)'!F187)&gt;0,INDEX(Table2[[#All],[Para (Ticker Daniel)]],MATCH('Input_APM (Zenith)'!F187,Table2[[#All],[De (Lote)]],0)),'Input_APM (Zenith)'!F187))</f>
        <v/>
      </c>
      <c r="M187" s="209" t="str">
        <f>IF(E187="","",G187)</f>
        <v/>
      </c>
      <c r="N187" s="210" t="str">
        <f>IF(E187="","",H187)</f>
        <v/>
      </c>
      <c r="O187" s="210" t="str">
        <f>IF(E187="","",I187)</f>
        <v/>
      </c>
    </row>
    <row r="188" spans="11:15">
      <c r="K188" s="209" t="str">
        <f t="shared" ref="K188:K199" si="20">IF(E188="","",E188)</f>
        <v/>
      </c>
      <c r="L188" s="209" t="str">
        <f>IF(E188="","",IF(COUNTIFS(Table2[[#All],[De (Lote)]],'Input_APM (Zenith)'!F188)&gt;0,INDEX(Table2[[#All],[Para (Ticker Daniel)]],MATCH('Input_APM (Zenith)'!F188,Table2[[#All],[De (Lote)]],0)),'Input_APM (Zenith)'!F188))</f>
        <v/>
      </c>
      <c r="M188" s="209" t="str">
        <f t="shared" ref="M188:M199" si="21">IF(E188="","",G188)</f>
        <v/>
      </c>
      <c r="N188" s="210" t="str">
        <f t="shared" ref="N188:N199" si="22">IF(E188="","",H188)</f>
        <v/>
      </c>
      <c r="O188" s="210" t="str">
        <f t="shared" ref="O188:O199" si="23">IF(E188="","",I188)</f>
        <v/>
      </c>
    </row>
    <row r="189" spans="11:15">
      <c r="K189" s="209" t="str">
        <f t="shared" si="20"/>
        <v/>
      </c>
      <c r="L189" s="209" t="str">
        <f>IF(E189="","",IF(COUNTIFS(Table2[[#All],[De (Lote)]],'Input_APM (Zenith)'!F189)&gt;0,INDEX(Table2[[#All],[Para (Ticker Daniel)]],MATCH('Input_APM (Zenith)'!F189,Table2[[#All],[De (Lote)]],0)),'Input_APM (Zenith)'!F189))</f>
        <v/>
      </c>
      <c r="M189" s="209" t="str">
        <f t="shared" si="21"/>
        <v/>
      </c>
      <c r="N189" s="210" t="str">
        <f t="shared" si="22"/>
        <v/>
      </c>
      <c r="O189" s="210" t="str">
        <f t="shared" si="23"/>
        <v/>
      </c>
    </row>
    <row r="190" spans="11:15">
      <c r="K190" s="209" t="str">
        <f t="shared" si="20"/>
        <v/>
      </c>
      <c r="L190" s="209" t="str">
        <f>IF(E190="","",IF(COUNTIFS(Table2[[#All],[De (Lote)]],'Input_APM (Zenith)'!F190)&gt;0,INDEX(Table2[[#All],[Para (Ticker Daniel)]],MATCH('Input_APM (Zenith)'!F190,Table2[[#All],[De (Lote)]],0)),'Input_APM (Zenith)'!F190))</f>
        <v/>
      </c>
      <c r="M190" s="209" t="str">
        <f t="shared" si="21"/>
        <v/>
      </c>
      <c r="N190" s="210" t="str">
        <f t="shared" si="22"/>
        <v/>
      </c>
      <c r="O190" s="210" t="str">
        <f t="shared" si="23"/>
        <v/>
      </c>
    </row>
    <row r="191" spans="11:15">
      <c r="K191" s="209" t="str">
        <f t="shared" si="20"/>
        <v/>
      </c>
      <c r="L191" s="209" t="str">
        <f>IF(E191="","",IF(COUNTIFS(Table2[[#All],[De (Lote)]],'Input_APM (Zenith)'!F191)&gt;0,INDEX(Table2[[#All],[Para (Ticker Daniel)]],MATCH('Input_APM (Zenith)'!F191,Table2[[#All],[De (Lote)]],0)),'Input_APM (Zenith)'!F191))</f>
        <v/>
      </c>
      <c r="M191" s="209" t="str">
        <f t="shared" si="21"/>
        <v/>
      </c>
      <c r="N191" s="210" t="str">
        <f t="shared" si="22"/>
        <v/>
      </c>
      <c r="O191" s="210" t="str">
        <f t="shared" si="23"/>
        <v/>
      </c>
    </row>
    <row r="192" spans="11:15">
      <c r="K192" s="209" t="str">
        <f t="shared" si="20"/>
        <v/>
      </c>
      <c r="L192" s="209" t="str">
        <f>IF(E192="","",IF(COUNTIFS(Table2[[#All],[De (Lote)]],'Input_APM (Zenith)'!F192)&gt;0,INDEX(Table2[[#All],[Para (Ticker Daniel)]],MATCH('Input_APM (Zenith)'!F192,Table2[[#All],[De (Lote)]],0)),'Input_APM (Zenith)'!F192))</f>
        <v/>
      </c>
      <c r="M192" s="209" t="str">
        <f t="shared" si="21"/>
        <v/>
      </c>
      <c r="N192" s="210" t="str">
        <f t="shared" si="22"/>
        <v/>
      </c>
      <c r="O192" s="210" t="str">
        <f t="shared" si="23"/>
        <v/>
      </c>
    </row>
    <row r="193" spans="11:15">
      <c r="K193" s="209" t="str">
        <f t="shared" si="20"/>
        <v/>
      </c>
      <c r="L193" s="209" t="str">
        <f>IF(E193="","",IF(COUNTIFS(Table2[[#All],[De (Lote)]],'Input_APM (Zenith)'!F193)&gt;0,INDEX(Table2[[#All],[Para (Ticker Daniel)]],MATCH('Input_APM (Zenith)'!F193,Table2[[#All],[De (Lote)]],0)),'Input_APM (Zenith)'!F193))</f>
        <v/>
      </c>
      <c r="M193" s="209" t="str">
        <f t="shared" si="21"/>
        <v/>
      </c>
      <c r="N193" s="210" t="str">
        <f t="shared" si="22"/>
        <v/>
      </c>
      <c r="O193" s="210" t="str">
        <f t="shared" si="23"/>
        <v/>
      </c>
    </row>
    <row r="194" spans="11:15">
      <c r="K194" s="209" t="str">
        <f t="shared" si="20"/>
        <v/>
      </c>
      <c r="L194" s="209" t="str">
        <f>IF(E194="","",IF(COUNTIFS(Table2[[#All],[De (Lote)]],'Input_APM (Zenith)'!F194)&gt;0,INDEX(Table2[[#All],[Para (Ticker Daniel)]],MATCH('Input_APM (Zenith)'!F194,Table2[[#All],[De (Lote)]],0)),'Input_APM (Zenith)'!F194))</f>
        <v/>
      </c>
      <c r="M194" s="209" t="str">
        <f t="shared" si="21"/>
        <v/>
      </c>
      <c r="N194" s="210" t="str">
        <f t="shared" si="22"/>
        <v/>
      </c>
      <c r="O194" s="210" t="str">
        <f t="shared" si="23"/>
        <v/>
      </c>
    </row>
    <row r="195" spans="11:15">
      <c r="K195" s="209" t="str">
        <f t="shared" si="20"/>
        <v/>
      </c>
      <c r="L195" s="209" t="str">
        <f>IF(E195="","",IF(COUNTIFS(Table2[[#All],[De (Lote)]],'Input_APM (Zenith)'!F195)&gt;0,INDEX(Table2[[#All],[Para (Ticker Daniel)]],MATCH('Input_APM (Zenith)'!F195,Table2[[#All],[De (Lote)]],0)),'Input_APM (Zenith)'!F195))</f>
        <v/>
      </c>
      <c r="M195" s="209" t="str">
        <f t="shared" si="21"/>
        <v/>
      </c>
      <c r="N195" s="210" t="str">
        <f t="shared" si="22"/>
        <v/>
      </c>
      <c r="O195" s="210" t="str">
        <f t="shared" si="23"/>
        <v/>
      </c>
    </row>
    <row r="196" spans="11:15">
      <c r="K196" s="209" t="str">
        <f t="shared" si="20"/>
        <v/>
      </c>
      <c r="L196" s="209" t="str">
        <f>IF(E196="","",IF(COUNTIFS(Table2[[#All],[De (Lote)]],'Input_APM (Zenith)'!F196)&gt;0,INDEX(Table2[[#All],[Para (Ticker Daniel)]],MATCH('Input_APM (Zenith)'!F196,Table2[[#All],[De (Lote)]],0)),'Input_APM (Zenith)'!F196))</f>
        <v/>
      </c>
      <c r="M196" s="209" t="str">
        <f t="shared" si="21"/>
        <v/>
      </c>
      <c r="N196" s="210" t="str">
        <f t="shared" si="22"/>
        <v/>
      </c>
      <c r="O196" s="210" t="str">
        <f t="shared" si="23"/>
        <v/>
      </c>
    </row>
    <row r="197" spans="11:15">
      <c r="K197" s="209" t="str">
        <f t="shared" si="20"/>
        <v/>
      </c>
      <c r="L197" s="209" t="str">
        <f>IF(E197="","",IF(COUNTIFS(Table2[[#All],[De (Lote)]],'Input_APM (Zenith)'!F197)&gt;0,INDEX(Table2[[#All],[Para (Ticker Daniel)]],MATCH('Input_APM (Zenith)'!F197,Table2[[#All],[De (Lote)]],0)),'Input_APM (Zenith)'!F197))</f>
        <v/>
      </c>
      <c r="M197" s="209" t="str">
        <f t="shared" si="21"/>
        <v/>
      </c>
      <c r="N197" s="210" t="str">
        <f t="shared" si="22"/>
        <v/>
      </c>
      <c r="O197" s="210" t="str">
        <f t="shared" si="23"/>
        <v/>
      </c>
    </row>
    <row r="198" spans="11:15">
      <c r="K198" s="209" t="str">
        <f t="shared" si="20"/>
        <v/>
      </c>
      <c r="L198" s="209" t="str">
        <f>IF(E198="","",IF(COUNTIFS(Table2[[#All],[De (Lote)]],'Input_APM (Zenith)'!F198)&gt;0,INDEX(Table2[[#All],[Para (Ticker Daniel)]],MATCH('Input_APM (Zenith)'!F198,Table2[[#All],[De (Lote)]],0)),'Input_APM (Zenith)'!F198))</f>
        <v/>
      </c>
      <c r="M198" s="209" t="str">
        <f t="shared" si="21"/>
        <v/>
      </c>
      <c r="N198" s="210" t="str">
        <f t="shared" si="22"/>
        <v/>
      </c>
      <c r="O198" s="210" t="str">
        <f t="shared" si="23"/>
        <v/>
      </c>
    </row>
    <row r="199" spans="11:15">
      <c r="K199" s="209" t="str">
        <f t="shared" si="20"/>
        <v/>
      </c>
      <c r="L199" s="209" t="str">
        <f>IF(E199="","",IF(COUNTIFS(Table2[[#All],[De (Lote)]],'Input_APM (Zenith)'!F199)&gt;0,INDEX(Table2[[#All],[Para (Ticker Daniel)]],MATCH('Input_APM (Zenith)'!F199,Table2[[#All],[De (Lote)]],0)),'Input_APM (Zenith)'!F199))</f>
        <v/>
      </c>
      <c r="M199" s="209" t="str">
        <f t="shared" si="21"/>
        <v/>
      </c>
      <c r="N199" s="210" t="str">
        <f t="shared" si="22"/>
        <v/>
      </c>
      <c r="O199" s="210" t="str">
        <f t="shared" si="23"/>
        <v/>
      </c>
    </row>
    <row r="200" spans="11:15">
      <c r="K200" s="209" t="str">
        <f t="shared" ref="K200:K212" si="24">IF(E200="","",E200)</f>
        <v/>
      </c>
      <c r="L200" s="209" t="str">
        <f>IF(E200="","",IF(COUNTIFS(Table2[[#All],[De (Lote)]],'Input_APM (Zenith)'!F200)&gt;0,INDEX(Table2[[#All],[Para (Ticker Daniel)]],MATCH('Input_APM (Zenith)'!F200,Table2[[#All],[De (Lote)]],0)),'Input_APM (Zenith)'!F200))</f>
        <v/>
      </c>
      <c r="M200" s="209" t="str">
        <f t="shared" ref="M200:M212" si="25">IF(E200="","",G200)</f>
        <v/>
      </c>
      <c r="N200" s="210" t="str">
        <f t="shared" ref="N200:N212" si="26">IF(E200="","",H200)</f>
        <v/>
      </c>
      <c r="O200" s="210" t="str">
        <f t="shared" ref="O200:O212" si="27">IF(E200="","",I200)</f>
        <v/>
      </c>
    </row>
    <row r="201" spans="11:15">
      <c r="K201" s="209" t="str">
        <f t="shared" si="24"/>
        <v/>
      </c>
      <c r="L201" s="209" t="str">
        <f>IF(E201="","",IF(COUNTIFS(Table2[[#All],[De (Lote)]],'Input_APM (Zenith)'!F201)&gt;0,INDEX(Table2[[#All],[Para (Ticker Daniel)]],MATCH('Input_APM (Zenith)'!F201,Table2[[#All],[De (Lote)]],0)),'Input_APM (Zenith)'!F201))</f>
        <v/>
      </c>
      <c r="M201" s="209" t="str">
        <f t="shared" si="25"/>
        <v/>
      </c>
      <c r="N201" s="210" t="str">
        <f t="shared" si="26"/>
        <v/>
      </c>
      <c r="O201" s="210" t="str">
        <f t="shared" si="27"/>
        <v/>
      </c>
    </row>
    <row r="202" spans="11:15">
      <c r="K202" s="209" t="str">
        <f t="shared" si="24"/>
        <v/>
      </c>
      <c r="L202" s="209" t="str">
        <f>IF(E202="","",IF(COUNTIFS(Table2[[#All],[De (Lote)]],'Input_APM (Zenith)'!F202)&gt;0,INDEX(Table2[[#All],[Para (Ticker Daniel)]],MATCH('Input_APM (Zenith)'!F202,Table2[[#All],[De (Lote)]],0)),'Input_APM (Zenith)'!F202))</f>
        <v/>
      </c>
      <c r="M202" s="209" t="str">
        <f t="shared" si="25"/>
        <v/>
      </c>
      <c r="N202" s="210" t="str">
        <f t="shared" si="26"/>
        <v/>
      </c>
      <c r="O202" s="210" t="str">
        <f t="shared" si="27"/>
        <v/>
      </c>
    </row>
    <row r="203" spans="11:15">
      <c r="K203" s="209" t="str">
        <f t="shared" si="24"/>
        <v/>
      </c>
      <c r="L203" s="209" t="str">
        <f>IF(E203="","",IF(COUNTIFS(Table2[[#All],[De (Lote)]],'Input_APM (Zenith)'!F203)&gt;0,INDEX(Table2[[#All],[Para (Ticker Daniel)]],MATCH('Input_APM (Zenith)'!F203,Table2[[#All],[De (Lote)]],0)),'Input_APM (Zenith)'!F203))</f>
        <v/>
      </c>
      <c r="M203" s="209" t="str">
        <f t="shared" si="25"/>
        <v/>
      </c>
      <c r="N203" s="210" t="str">
        <f t="shared" si="26"/>
        <v/>
      </c>
      <c r="O203" s="210" t="str">
        <f t="shared" si="27"/>
        <v/>
      </c>
    </row>
    <row r="204" spans="11:15">
      <c r="K204" s="209" t="str">
        <f t="shared" si="24"/>
        <v/>
      </c>
      <c r="L204" s="209" t="str">
        <f>IF(E204="","",IF(COUNTIFS(Table2[[#All],[De (Lote)]],'Input_APM (Zenith)'!F204)&gt;0,INDEX(Table2[[#All],[Para (Ticker Daniel)]],MATCH('Input_APM (Zenith)'!F204,Table2[[#All],[De (Lote)]],0)),'Input_APM (Zenith)'!F204))</f>
        <v/>
      </c>
      <c r="M204" s="209" t="str">
        <f t="shared" si="25"/>
        <v/>
      </c>
      <c r="N204" s="210" t="str">
        <f t="shared" si="26"/>
        <v/>
      </c>
      <c r="O204" s="210" t="str">
        <f t="shared" si="27"/>
        <v/>
      </c>
    </row>
    <row r="205" spans="11:15">
      <c r="K205" s="209" t="str">
        <f t="shared" si="24"/>
        <v/>
      </c>
      <c r="L205" s="209" t="str">
        <f>IF(E205="","",IF(COUNTIFS(Table2[[#All],[De (Lote)]],'Input_APM (Zenith)'!F205)&gt;0,INDEX(Table2[[#All],[Para (Ticker Daniel)]],MATCH('Input_APM (Zenith)'!F205,Table2[[#All],[De (Lote)]],0)),'Input_APM (Zenith)'!F205))</f>
        <v/>
      </c>
      <c r="M205" s="209" t="str">
        <f t="shared" si="25"/>
        <v/>
      </c>
      <c r="N205" s="210" t="str">
        <f t="shared" si="26"/>
        <v/>
      </c>
      <c r="O205" s="210" t="str">
        <f t="shared" si="27"/>
        <v/>
      </c>
    </row>
    <row r="206" spans="11:15">
      <c r="K206" s="209" t="str">
        <f t="shared" si="24"/>
        <v/>
      </c>
      <c r="L206" s="209" t="str">
        <f>IF(E206="","",IF(COUNTIFS(Table2[[#All],[De (Lote)]],'Input_APM (Zenith)'!F206)&gt;0,INDEX(Table2[[#All],[Para (Ticker Daniel)]],MATCH('Input_APM (Zenith)'!F206,Table2[[#All],[De (Lote)]],0)),'Input_APM (Zenith)'!F206))</f>
        <v/>
      </c>
      <c r="M206" s="209" t="str">
        <f t="shared" si="25"/>
        <v/>
      </c>
      <c r="N206" s="210" t="str">
        <f t="shared" si="26"/>
        <v/>
      </c>
      <c r="O206" s="210" t="str">
        <f t="shared" si="27"/>
        <v/>
      </c>
    </row>
    <row r="207" spans="11:15">
      <c r="K207" s="209" t="str">
        <f t="shared" si="24"/>
        <v/>
      </c>
      <c r="L207" s="209" t="str">
        <f>IF(E207="","",IF(COUNTIFS(Table2[[#All],[De (Lote)]],'Input_APM (Zenith)'!F207)&gt;0,INDEX(Table2[[#All],[Para (Ticker Daniel)]],MATCH('Input_APM (Zenith)'!F207,Table2[[#All],[De (Lote)]],0)),'Input_APM (Zenith)'!F207))</f>
        <v/>
      </c>
      <c r="M207" s="209" t="str">
        <f t="shared" si="25"/>
        <v/>
      </c>
      <c r="N207" s="210" t="str">
        <f t="shared" si="26"/>
        <v/>
      </c>
      <c r="O207" s="210" t="str">
        <f t="shared" si="27"/>
        <v/>
      </c>
    </row>
    <row r="208" spans="11:15">
      <c r="K208" s="209" t="str">
        <f t="shared" si="24"/>
        <v/>
      </c>
      <c r="L208" s="209" t="str">
        <f>IF(E208="","",IF(COUNTIFS(Table2[[#All],[De (Lote)]],'Input_APM (Zenith)'!F208)&gt;0,INDEX(Table2[[#All],[Para (Ticker Daniel)]],MATCH('Input_APM (Zenith)'!F208,Table2[[#All],[De (Lote)]],0)),'Input_APM (Zenith)'!F208))</f>
        <v/>
      </c>
      <c r="M208" s="209" t="str">
        <f t="shared" si="25"/>
        <v/>
      </c>
      <c r="N208" s="210" t="str">
        <f t="shared" si="26"/>
        <v/>
      </c>
      <c r="O208" s="210" t="str">
        <f t="shared" si="27"/>
        <v/>
      </c>
    </row>
    <row r="209" spans="8:15">
      <c r="K209" s="209" t="str">
        <f t="shared" si="24"/>
        <v/>
      </c>
      <c r="L209" s="209" t="str">
        <f>IF(E209="","",IF(COUNTIFS(Table2[[#All],[De (Lote)]],'Input_APM (Zenith)'!F209)&gt;0,INDEX(Table2[[#All],[Para (Ticker Daniel)]],MATCH('Input_APM (Zenith)'!F209,Table2[[#All],[De (Lote)]],0)),'Input_APM (Zenith)'!F209))</f>
        <v/>
      </c>
      <c r="M209" s="209" t="str">
        <f t="shared" si="25"/>
        <v/>
      </c>
      <c r="N209" s="210" t="str">
        <f t="shared" si="26"/>
        <v/>
      </c>
      <c r="O209" s="210" t="str">
        <f t="shared" si="27"/>
        <v/>
      </c>
    </row>
    <row r="210" spans="8:15">
      <c r="K210" s="209" t="str">
        <f t="shared" si="24"/>
        <v/>
      </c>
      <c r="L210" s="209" t="str">
        <f>IF(E210="","",IF(COUNTIFS(Table2[[#All],[De (Lote)]],'Input_APM (Zenith)'!F210)&gt;0,INDEX(Table2[[#All],[Para (Ticker Daniel)]],MATCH('Input_APM (Zenith)'!F210,Table2[[#All],[De (Lote)]],0)),'Input_APM (Zenith)'!F210))</f>
        <v/>
      </c>
      <c r="M210" s="209" t="str">
        <f t="shared" si="25"/>
        <v/>
      </c>
      <c r="N210" s="210" t="str">
        <f t="shared" si="26"/>
        <v/>
      </c>
      <c r="O210" s="210" t="str">
        <f t="shared" si="27"/>
        <v/>
      </c>
    </row>
    <row r="211" spans="8:15">
      <c r="H211" s="220"/>
      <c r="K211" s="209" t="str">
        <f t="shared" si="24"/>
        <v/>
      </c>
      <c r="L211" s="209" t="str">
        <f>IF(E211="","",IF(COUNTIFS(Table2[[#All],[De (Lote)]],'Input_APM (Zenith)'!F211)&gt;0,INDEX(Table2[[#All],[Para (Ticker Daniel)]],MATCH('Input_APM (Zenith)'!F211,Table2[[#All],[De (Lote)]],0)),'Input_APM (Zenith)'!F211))</f>
        <v/>
      </c>
      <c r="M211" s="209" t="str">
        <f t="shared" si="25"/>
        <v/>
      </c>
      <c r="N211" s="210" t="str">
        <f t="shared" si="26"/>
        <v/>
      </c>
      <c r="O211" s="210" t="str">
        <f t="shared" si="27"/>
        <v/>
      </c>
    </row>
    <row r="212" spans="8:15">
      <c r="H212" s="220"/>
      <c r="K212" s="209" t="str">
        <f t="shared" si="24"/>
        <v/>
      </c>
      <c r="L212" s="209" t="str">
        <f>IF(E212="","",IF(COUNTIFS(Table2[[#All],[De (Lote)]],'Input_APM (Zenith)'!F212)&gt;0,INDEX(Table2[[#All],[Para (Ticker Daniel)]],MATCH('Input_APM (Zenith)'!F212,Table2[[#All],[De (Lote)]],0)),'Input_APM (Zenith)'!F212))</f>
        <v/>
      </c>
      <c r="M212" s="209" t="str">
        <f t="shared" si="25"/>
        <v/>
      </c>
      <c r="N212" s="210" t="str">
        <f t="shared" si="26"/>
        <v/>
      </c>
      <c r="O212" s="210" t="str">
        <f t="shared" si="27"/>
        <v/>
      </c>
    </row>
    <row r="213" spans="8:15">
      <c r="H213" s="220"/>
      <c r="K213" s="209" t="str">
        <f t="shared" ref="K213:K219" si="28">IF(E213="","",E213)</f>
        <v/>
      </c>
      <c r="L213" s="209" t="str">
        <f>IF(E213="","",IF(COUNTIFS(Table2[[#All],[De (Lote)]],'Input_APM (Zenith)'!F213)&gt;0,INDEX(Table2[[#All],[Para (Ticker Daniel)]],MATCH('Input_APM (Zenith)'!F213,Table2[[#All],[De (Lote)]],0)),'Input_APM (Zenith)'!F213))</f>
        <v/>
      </c>
      <c r="M213" s="209" t="str">
        <f t="shared" ref="M213:M219" si="29">IF(E213="","",G213)</f>
        <v/>
      </c>
      <c r="N213" s="210" t="str">
        <f t="shared" ref="N213:N219" si="30">IF(E213="","",H213)</f>
        <v/>
      </c>
      <c r="O213" s="210" t="str">
        <f t="shared" ref="O213:O219" si="31">IF(E213="","",I213)</f>
        <v/>
      </c>
    </row>
    <row r="214" spans="8:15">
      <c r="H214" s="220"/>
      <c r="K214" s="209" t="str">
        <f t="shared" si="28"/>
        <v/>
      </c>
      <c r="L214" s="209" t="str">
        <f>IF(E214="","",IF(COUNTIFS(Table2[[#All],[De (Lote)]],'Input_APM (Zenith)'!F214)&gt;0,INDEX(Table2[[#All],[Para (Ticker Daniel)]],MATCH('Input_APM (Zenith)'!F214,Table2[[#All],[De (Lote)]],0)),'Input_APM (Zenith)'!F214))</f>
        <v/>
      </c>
      <c r="M214" s="209" t="str">
        <f t="shared" si="29"/>
        <v/>
      </c>
      <c r="N214" s="210" t="str">
        <f t="shared" si="30"/>
        <v/>
      </c>
      <c r="O214" s="210" t="str">
        <f t="shared" si="31"/>
        <v/>
      </c>
    </row>
    <row r="215" spans="8:15">
      <c r="H215" s="220"/>
      <c r="K215" s="209" t="str">
        <f t="shared" si="28"/>
        <v/>
      </c>
      <c r="L215" s="209" t="str">
        <f>IF(E215="","",IF(COUNTIFS(Table2[[#All],[De (Lote)]],'Input_APM (Zenith)'!F215)&gt;0,INDEX(Table2[[#All],[Para (Ticker Daniel)]],MATCH('Input_APM (Zenith)'!F215,Table2[[#All],[De (Lote)]],0)),'Input_APM (Zenith)'!F215))</f>
        <v/>
      </c>
      <c r="M215" s="209" t="str">
        <f t="shared" si="29"/>
        <v/>
      </c>
      <c r="N215" s="210" t="str">
        <f t="shared" si="30"/>
        <v/>
      </c>
      <c r="O215" s="210" t="str">
        <f t="shared" si="31"/>
        <v/>
      </c>
    </row>
    <row r="216" spans="8:15">
      <c r="H216" s="220"/>
      <c r="K216" s="209" t="str">
        <f t="shared" si="28"/>
        <v/>
      </c>
      <c r="L216" s="209" t="str">
        <f>IF(E216="","",IF(COUNTIFS(Table2[[#All],[De (Lote)]],'Input_APM (Zenith)'!F216)&gt;0,INDEX(Table2[[#All],[Para (Ticker Daniel)]],MATCH('Input_APM (Zenith)'!F216,Table2[[#All],[De (Lote)]],0)),'Input_APM (Zenith)'!F216))</f>
        <v/>
      </c>
      <c r="M216" s="209" t="str">
        <f t="shared" si="29"/>
        <v/>
      </c>
      <c r="N216" s="210" t="str">
        <f t="shared" si="30"/>
        <v/>
      </c>
      <c r="O216" s="210" t="str">
        <f t="shared" si="31"/>
        <v/>
      </c>
    </row>
    <row r="217" spans="8:15">
      <c r="H217" s="220"/>
      <c r="K217" s="209" t="str">
        <f t="shared" si="28"/>
        <v/>
      </c>
      <c r="L217" s="209" t="str">
        <f>IF(E217="","",IF(COUNTIFS(Table2[[#All],[De (Lote)]],'Input_APM (Zenith)'!F217)&gt;0,INDEX(Table2[[#All],[Para (Ticker Daniel)]],MATCH('Input_APM (Zenith)'!F217,Table2[[#All],[De (Lote)]],0)),'Input_APM (Zenith)'!F217))</f>
        <v/>
      </c>
      <c r="M217" s="209" t="str">
        <f t="shared" si="29"/>
        <v/>
      </c>
      <c r="N217" s="210" t="str">
        <f t="shared" si="30"/>
        <v/>
      </c>
      <c r="O217" s="210" t="str">
        <f t="shared" si="31"/>
        <v/>
      </c>
    </row>
    <row r="218" spans="8:15">
      <c r="H218" s="220"/>
      <c r="K218" s="209" t="str">
        <f t="shared" si="28"/>
        <v/>
      </c>
      <c r="L218" s="209" t="str">
        <f>IF(E218="","",IF(COUNTIFS(Table2[[#All],[De (Lote)]],'Input_APM (Zenith)'!F218)&gt;0,INDEX(Table2[[#All],[Para (Ticker Daniel)]],MATCH('Input_APM (Zenith)'!F218,Table2[[#All],[De (Lote)]],0)),'Input_APM (Zenith)'!F218))</f>
        <v/>
      </c>
      <c r="M218" s="209" t="str">
        <f t="shared" si="29"/>
        <v/>
      </c>
      <c r="N218" s="210" t="str">
        <f t="shared" si="30"/>
        <v/>
      </c>
      <c r="O218" s="210" t="str">
        <f t="shared" si="31"/>
        <v/>
      </c>
    </row>
    <row r="219" spans="8:15">
      <c r="K219" s="209" t="str">
        <f t="shared" si="28"/>
        <v/>
      </c>
      <c r="L219" s="209" t="str">
        <f>IF(E219="","",IF(COUNTIFS(Table2[[#All],[De (Lote)]],'Input_APM (Zenith)'!F219)&gt;0,INDEX(Table2[[#All],[Para (Ticker Daniel)]],MATCH('Input_APM (Zenith)'!F219,Table2[[#All],[De (Lote)]],0)),'Input_APM (Zenith)'!F219))</f>
        <v/>
      </c>
      <c r="M219" s="209" t="str">
        <f t="shared" si="29"/>
        <v/>
      </c>
      <c r="N219" s="210" t="str">
        <f t="shared" si="30"/>
        <v/>
      </c>
      <c r="O219" s="210" t="str">
        <f t="shared" si="31"/>
        <v/>
      </c>
    </row>
    <row r="220" spans="8:15">
      <c r="K220" s="209" t="str">
        <f>IF(E220="","",E220)</f>
        <v/>
      </c>
      <c r="L220" s="209" t="str">
        <f>IF(E220="","",IF(COUNTIFS(Table2[[#All],[De (Lote)]],'Input_APM (Zenith)'!F220)&gt;0,INDEX(Table2[[#All],[Para (Ticker Daniel)]],MATCH('Input_APM (Zenith)'!F220,Table2[[#All],[De (Lote)]],0)),'Input_APM (Zenith)'!F220))</f>
        <v/>
      </c>
      <c r="M220" s="209" t="str">
        <f>IF(E220="","",G220)</f>
        <v/>
      </c>
      <c r="N220" s="210" t="str">
        <f>IF(E220="","",H220)</f>
        <v/>
      </c>
      <c r="O220" s="210" t="str">
        <f>IF(E220="","",I220)</f>
        <v/>
      </c>
    </row>
    <row r="221" spans="8:15">
      <c r="K221" s="209" t="str">
        <f>IF(E221="","",E221)</f>
        <v/>
      </c>
      <c r="L221" s="209" t="str">
        <f>IF(E221="","",IF(COUNTIFS(Table2[[#All],[De (Lote)]],'Input_APM (Zenith)'!F221)&gt;0,INDEX(Table2[[#All],[Para (Ticker Daniel)]],MATCH('Input_APM (Zenith)'!F221,Table2[[#All],[De (Lote)]],0)),'Input_APM (Zenith)'!F221))</f>
        <v/>
      </c>
      <c r="M221" s="209" t="str">
        <f>IF(E221="","",G221)</f>
        <v/>
      </c>
      <c r="N221" s="210" t="str">
        <f>IF(E221="","",H221)</f>
        <v/>
      </c>
      <c r="O221" s="210" t="str">
        <f>IF(E221="","",I221)</f>
        <v/>
      </c>
    </row>
    <row r="222" spans="8:15">
      <c r="K222" s="209" t="str">
        <f t="shared" ref="K222:K261" si="32">IF(E222="","",E222)</f>
        <v/>
      </c>
      <c r="L222" s="209" t="str">
        <f>IF(E222="","",IF(COUNTIFS(Table2[[#All],[De (Lote)]],'Input_APM (Zenith)'!F222)&gt;0,INDEX(Table2[[#All],[Para (Ticker Daniel)]],MATCH('Input_APM (Zenith)'!F222,Table2[[#All],[De (Lote)]],0)),'Input_APM (Zenith)'!F222))</f>
        <v/>
      </c>
      <c r="M222" s="209" t="str">
        <f t="shared" ref="M222:M261" si="33">IF(E222="","",G222)</f>
        <v/>
      </c>
      <c r="N222" s="210" t="str">
        <f t="shared" ref="N222:N261" si="34">IF(E222="","",H222)</f>
        <v/>
      </c>
      <c r="O222" s="210" t="str">
        <f t="shared" ref="O222:O261" si="35">IF(E222="","",I222)</f>
        <v/>
      </c>
    </row>
    <row r="223" spans="8:15">
      <c r="K223" s="209" t="str">
        <f t="shared" si="32"/>
        <v/>
      </c>
      <c r="L223" s="209" t="str">
        <f>IF(E223="","",IF(COUNTIFS(Table2[[#All],[De (Lote)]],'Input_APM (Zenith)'!F223)&gt;0,INDEX(Table2[[#All],[Para (Ticker Daniel)]],MATCH('Input_APM (Zenith)'!F223,Table2[[#All],[De (Lote)]],0)),'Input_APM (Zenith)'!F223))</f>
        <v/>
      </c>
      <c r="M223" s="209" t="str">
        <f t="shared" si="33"/>
        <v/>
      </c>
      <c r="N223" s="210" t="str">
        <f t="shared" si="34"/>
        <v/>
      </c>
      <c r="O223" s="210" t="str">
        <f t="shared" si="35"/>
        <v/>
      </c>
    </row>
    <row r="224" spans="8:15">
      <c r="K224" s="209" t="str">
        <f t="shared" si="32"/>
        <v/>
      </c>
      <c r="L224" s="209" t="str">
        <f>IF(E224="","",IF(COUNTIFS(Table2[[#All],[De (Lote)]],'Input_APM (Zenith)'!F224)&gt;0,INDEX(Table2[[#All],[Para (Ticker Daniel)]],MATCH('Input_APM (Zenith)'!F224,Table2[[#All],[De (Lote)]],0)),'Input_APM (Zenith)'!F224))</f>
        <v/>
      </c>
      <c r="M224" s="209" t="str">
        <f t="shared" si="33"/>
        <v/>
      </c>
      <c r="N224" s="210" t="str">
        <f t="shared" si="34"/>
        <v/>
      </c>
      <c r="O224" s="210" t="str">
        <f t="shared" si="35"/>
        <v/>
      </c>
    </row>
    <row r="225" spans="11:15">
      <c r="K225" s="209" t="str">
        <f t="shared" si="32"/>
        <v/>
      </c>
      <c r="L225" s="209" t="str">
        <f>IF(E225="","",IF(COUNTIFS(Table2[[#All],[De (Lote)]],'Input_APM (Zenith)'!F225)&gt;0,INDEX(Table2[[#All],[Para (Ticker Daniel)]],MATCH('Input_APM (Zenith)'!F225,Table2[[#All],[De (Lote)]],0)),'Input_APM (Zenith)'!F225))</f>
        <v/>
      </c>
      <c r="M225" s="209" t="str">
        <f t="shared" si="33"/>
        <v/>
      </c>
      <c r="N225" s="210" t="str">
        <f t="shared" si="34"/>
        <v/>
      </c>
      <c r="O225" s="210" t="str">
        <f t="shared" si="35"/>
        <v/>
      </c>
    </row>
    <row r="226" spans="11:15">
      <c r="K226" s="209" t="str">
        <f t="shared" si="32"/>
        <v/>
      </c>
      <c r="L226" s="209" t="str">
        <f>IF(E226="","",IF(COUNTIFS(Table2[[#All],[De (Lote)]],'Input_APM (Zenith)'!F226)&gt;0,INDEX(Table2[[#All],[Para (Ticker Daniel)]],MATCH('Input_APM (Zenith)'!F226,Table2[[#All],[De (Lote)]],0)),'Input_APM (Zenith)'!F226))</f>
        <v/>
      </c>
      <c r="M226" s="209" t="str">
        <f t="shared" si="33"/>
        <v/>
      </c>
      <c r="N226" s="210" t="str">
        <f t="shared" si="34"/>
        <v/>
      </c>
      <c r="O226" s="210" t="str">
        <f t="shared" si="35"/>
        <v/>
      </c>
    </row>
    <row r="227" spans="11:15">
      <c r="K227" s="209" t="str">
        <f t="shared" si="32"/>
        <v/>
      </c>
      <c r="L227" s="209" t="str">
        <f>IF(E227="","",IF(COUNTIFS(Table2[[#All],[De (Lote)]],'Input_APM (Zenith)'!F227)&gt;0,INDEX(Table2[[#All],[Para (Ticker Daniel)]],MATCH('Input_APM (Zenith)'!F227,Table2[[#All],[De (Lote)]],0)),'Input_APM (Zenith)'!F227))</f>
        <v/>
      </c>
      <c r="M227" s="209" t="str">
        <f t="shared" si="33"/>
        <v/>
      </c>
      <c r="N227" s="210" t="str">
        <f t="shared" si="34"/>
        <v/>
      </c>
      <c r="O227" s="210" t="str">
        <f t="shared" si="35"/>
        <v/>
      </c>
    </row>
    <row r="228" spans="11:15">
      <c r="K228" s="209" t="str">
        <f t="shared" si="32"/>
        <v/>
      </c>
      <c r="L228" s="209" t="str">
        <f>IF(E228="","",IF(COUNTIFS(Table2[[#All],[De (Lote)]],'Input_APM (Zenith)'!F228)&gt;0,INDEX(Table2[[#All],[Para (Ticker Daniel)]],MATCH('Input_APM (Zenith)'!F228,Table2[[#All],[De (Lote)]],0)),'Input_APM (Zenith)'!F228))</f>
        <v/>
      </c>
      <c r="M228" s="209" t="str">
        <f t="shared" si="33"/>
        <v/>
      </c>
      <c r="N228" s="210" t="str">
        <f t="shared" si="34"/>
        <v/>
      </c>
      <c r="O228" s="210" t="str">
        <f t="shared" si="35"/>
        <v/>
      </c>
    </row>
    <row r="229" spans="11:15">
      <c r="K229" s="209" t="str">
        <f t="shared" si="32"/>
        <v/>
      </c>
      <c r="L229" s="209" t="str">
        <f>IF(E229="","",IF(COUNTIFS(Table2[[#All],[De (Lote)]],'Input_APM (Zenith)'!F229)&gt;0,INDEX(Table2[[#All],[Para (Ticker Daniel)]],MATCH('Input_APM (Zenith)'!F229,Table2[[#All],[De (Lote)]],0)),'Input_APM (Zenith)'!F229))</f>
        <v/>
      </c>
      <c r="M229" s="209" t="str">
        <f t="shared" si="33"/>
        <v/>
      </c>
      <c r="N229" s="210" t="str">
        <f t="shared" si="34"/>
        <v/>
      </c>
      <c r="O229" s="210" t="str">
        <f t="shared" si="35"/>
        <v/>
      </c>
    </row>
    <row r="230" spans="11:15">
      <c r="K230" s="209" t="str">
        <f t="shared" si="32"/>
        <v/>
      </c>
      <c r="L230" s="209" t="str">
        <f>IF(E230="","",IF(COUNTIFS(Table2[[#All],[De (Lote)]],'Input_APM (Zenith)'!F230)&gt;0,INDEX(Table2[[#All],[Para (Ticker Daniel)]],MATCH('Input_APM (Zenith)'!F230,Table2[[#All],[De (Lote)]],0)),'Input_APM (Zenith)'!F230))</f>
        <v/>
      </c>
      <c r="M230" s="209" t="str">
        <f t="shared" si="33"/>
        <v/>
      </c>
      <c r="N230" s="210" t="str">
        <f t="shared" si="34"/>
        <v/>
      </c>
      <c r="O230" s="210" t="str">
        <f t="shared" si="35"/>
        <v/>
      </c>
    </row>
    <row r="231" spans="11:15">
      <c r="K231" s="209" t="str">
        <f t="shared" si="32"/>
        <v/>
      </c>
      <c r="L231" s="209" t="str">
        <f>IF(E231="","",IF(COUNTIFS(Table2[[#All],[De (Lote)]],'Input_APM (Zenith)'!F231)&gt;0,INDEX(Table2[[#All],[Para (Ticker Daniel)]],MATCH('Input_APM (Zenith)'!F231,Table2[[#All],[De (Lote)]],0)),'Input_APM (Zenith)'!F231))</f>
        <v/>
      </c>
      <c r="M231" s="209" t="str">
        <f t="shared" si="33"/>
        <v/>
      </c>
      <c r="N231" s="210" t="str">
        <f t="shared" si="34"/>
        <v/>
      </c>
      <c r="O231" s="210" t="str">
        <f t="shared" si="35"/>
        <v/>
      </c>
    </row>
    <row r="232" spans="11:15">
      <c r="K232" s="209" t="str">
        <f t="shared" si="32"/>
        <v/>
      </c>
      <c r="L232" s="209" t="str">
        <f>IF(E232="","",IF(COUNTIFS(Table2[[#All],[De (Lote)]],'Input_APM (Zenith)'!F232)&gt;0,INDEX(Table2[[#All],[Para (Ticker Daniel)]],MATCH('Input_APM (Zenith)'!F232,Table2[[#All],[De (Lote)]],0)),'Input_APM (Zenith)'!F232))</f>
        <v/>
      </c>
      <c r="M232" s="209" t="str">
        <f t="shared" si="33"/>
        <v/>
      </c>
      <c r="N232" s="210" t="str">
        <f t="shared" si="34"/>
        <v/>
      </c>
      <c r="O232" s="210" t="str">
        <f t="shared" si="35"/>
        <v/>
      </c>
    </row>
    <row r="233" spans="11:15">
      <c r="K233" s="209" t="str">
        <f t="shared" si="32"/>
        <v/>
      </c>
      <c r="L233" s="209" t="str">
        <f>IF(E233="","",IF(COUNTIFS(Table2[[#All],[De (Lote)]],'Input_APM (Zenith)'!F233)&gt;0,INDEX(Table2[[#All],[Para (Ticker Daniel)]],MATCH('Input_APM (Zenith)'!F233,Table2[[#All],[De (Lote)]],0)),'Input_APM (Zenith)'!F233))</f>
        <v/>
      </c>
      <c r="M233" s="209" t="str">
        <f t="shared" si="33"/>
        <v/>
      </c>
      <c r="N233" s="210" t="str">
        <f t="shared" si="34"/>
        <v/>
      </c>
      <c r="O233" s="210" t="str">
        <f t="shared" si="35"/>
        <v/>
      </c>
    </row>
    <row r="234" spans="11:15">
      <c r="K234" s="209" t="str">
        <f t="shared" si="32"/>
        <v/>
      </c>
      <c r="L234" s="209" t="str">
        <f>IF(E234="","",IF(COUNTIFS(Table2[[#All],[De (Lote)]],'Input_APM (Zenith)'!F234)&gt;0,INDEX(Table2[[#All],[Para (Ticker Daniel)]],MATCH('Input_APM (Zenith)'!F234,Table2[[#All],[De (Lote)]],0)),'Input_APM (Zenith)'!F234))</f>
        <v/>
      </c>
      <c r="M234" s="209" t="str">
        <f t="shared" si="33"/>
        <v/>
      </c>
      <c r="N234" s="210" t="str">
        <f t="shared" si="34"/>
        <v/>
      </c>
      <c r="O234" s="210" t="str">
        <f t="shared" si="35"/>
        <v/>
      </c>
    </row>
    <row r="235" spans="11:15">
      <c r="K235" s="209" t="str">
        <f t="shared" si="32"/>
        <v/>
      </c>
      <c r="L235" s="209" t="str">
        <f>IF(E235="","",IF(COUNTIFS(Table2[[#All],[De (Lote)]],'Input_APM (Zenith)'!F235)&gt;0,INDEX(Table2[[#All],[Para (Ticker Daniel)]],MATCH('Input_APM (Zenith)'!F235,Table2[[#All],[De (Lote)]],0)),'Input_APM (Zenith)'!F235))</f>
        <v/>
      </c>
      <c r="M235" s="209" t="str">
        <f t="shared" si="33"/>
        <v/>
      </c>
      <c r="N235" s="210" t="str">
        <f t="shared" si="34"/>
        <v/>
      </c>
      <c r="O235" s="210" t="str">
        <f t="shared" si="35"/>
        <v/>
      </c>
    </row>
    <row r="236" spans="11:15">
      <c r="K236" s="209" t="str">
        <f t="shared" si="32"/>
        <v/>
      </c>
      <c r="L236" s="209" t="str">
        <f>IF(E236="","",IF(COUNTIFS(Table2[[#All],[De (Lote)]],'Input_APM (Zenith)'!F236)&gt;0,INDEX(Table2[[#All],[Para (Ticker Daniel)]],MATCH('Input_APM (Zenith)'!F236,Table2[[#All],[De (Lote)]],0)),'Input_APM (Zenith)'!F236))</f>
        <v/>
      </c>
      <c r="M236" s="209" t="str">
        <f t="shared" si="33"/>
        <v/>
      </c>
      <c r="N236" s="210" t="str">
        <f t="shared" si="34"/>
        <v/>
      </c>
      <c r="O236" s="210" t="str">
        <f t="shared" si="35"/>
        <v/>
      </c>
    </row>
    <row r="237" spans="11:15">
      <c r="K237" s="209" t="str">
        <f t="shared" si="32"/>
        <v/>
      </c>
      <c r="L237" s="209" t="str">
        <f>IF(E237="","",IF(COUNTIFS(Table2[[#All],[De (Lote)]],'Input_APM (Zenith)'!F237)&gt;0,INDEX(Table2[[#All],[Para (Ticker Daniel)]],MATCH('Input_APM (Zenith)'!F237,Table2[[#All],[De (Lote)]],0)),'Input_APM (Zenith)'!F237))</f>
        <v/>
      </c>
      <c r="M237" s="209" t="str">
        <f t="shared" si="33"/>
        <v/>
      </c>
      <c r="N237" s="210" t="str">
        <f t="shared" si="34"/>
        <v/>
      </c>
      <c r="O237" s="210" t="str">
        <f t="shared" si="35"/>
        <v/>
      </c>
    </row>
    <row r="238" spans="11:15">
      <c r="K238" s="209" t="str">
        <f t="shared" si="32"/>
        <v/>
      </c>
      <c r="L238" s="209" t="str">
        <f>IF(E238="","",IF(COUNTIFS(Table2[[#All],[De (Lote)]],'Input_APM (Zenith)'!F238)&gt;0,INDEX(Table2[[#All],[Para (Ticker Daniel)]],MATCH('Input_APM (Zenith)'!F238,Table2[[#All],[De (Lote)]],0)),'Input_APM (Zenith)'!F238))</f>
        <v/>
      </c>
      <c r="M238" s="209" t="str">
        <f t="shared" si="33"/>
        <v/>
      </c>
      <c r="N238" s="210" t="str">
        <f t="shared" si="34"/>
        <v/>
      </c>
      <c r="O238" s="210" t="str">
        <f t="shared" si="35"/>
        <v/>
      </c>
    </row>
    <row r="239" spans="11:15">
      <c r="K239" s="209" t="str">
        <f t="shared" si="32"/>
        <v/>
      </c>
      <c r="L239" s="209" t="str">
        <f>IF(E239="","",IF(COUNTIFS(Table2[[#All],[De (Lote)]],'Input_APM (Zenith)'!F239)&gt;0,INDEX(Table2[[#All],[Para (Ticker Daniel)]],MATCH('Input_APM (Zenith)'!F239,Table2[[#All],[De (Lote)]],0)),'Input_APM (Zenith)'!F239))</f>
        <v/>
      </c>
      <c r="M239" s="209" t="str">
        <f t="shared" si="33"/>
        <v/>
      </c>
      <c r="N239" s="210" t="str">
        <f t="shared" si="34"/>
        <v/>
      </c>
      <c r="O239" s="210" t="str">
        <f t="shared" si="35"/>
        <v/>
      </c>
    </row>
    <row r="240" spans="11:15">
      <c r="K240" s="209" t="str">
        <f t="shared" si="32"/>
        <v/>
      </c>
      <c r="L240" s="209" t="str">
        <f>IF(E240="","",IF(COUNTIFS(Table2[[#All],[De (Lote)]],'Input_APM (Zenith)'!F240)&gt;0,INDEX(Table2[[#All],[Para (Ticker Daniel)]],MATCH('Input_APM (Zenith)'!F240,Table2[[#All],[De (Lote)]],0)),'Input_APM (Zenith)'!F240))</f>
        <v/>
      </c>
      <c r="M240" s="209" t="str">
        <f t="shared" si="33"/>
        <v/>
      </c>
      <c r="N240" s="210" t="str">
        <f t="shared" si="34"/>
        <v/>
      </c>
      <c r="O240" s="210" t="str">
        <f t="shared" si="35"/>
        <v/>
      </c>
    </row>
    <row r="241" spans="11:15">
      <c r="K241" s="209" t="str">
        <f t="shared" si="32"/>
        <v/>
      </c>
      <c r="L241" s="209" t="str">
        <f>IF(E241="","",IF(COUNTIFS(Table2[[#All],[De (Lote)]],'Input_APM (Zenith)'!F241)&gt;0,INDEX(Table2[[#All],[Para (Ticker Daniel)]],MATCH('Input_APM (Zenith)'!F241,Table2[[#All],[De (Lote)]],0)),'Input_APM (Zenith)'!F241))</f>
        <v/>
      </c>
      <c r="M241" s="209" t="str">
        <f t="shared" si="33"/>
        <v/>
      </c>
      <c r="N241" s="210" t="str">
        <f t="shared" si="34"/>
        <v/>
      </c>
      <c r="O241" s="210" t="str">
        <f t="shared" si="35"/>
        <v/>
      </c>
    </row>
    <row r="242" spans="11:15">
      <c r="K242" s="209" t="str">
        <f t="shared" si="32"/>
        <v/>
      </c>
      <c r="L242" s="209" t="str">
        <f>IF(E242="","",IF(COUNTIFS(Table2[[#All],[De (Lote)]],'Input_APM (Zenith)'!F242)&gt;0,INDEX(Table2[[#All],[Para (Ticker Daniel)]],MATCH('Input_APM (Zenith)'!F242,Table2[[#All],[De (Lote)]],0)),'Input_APM (Zenith)'!F242))</f>
        <v/>
      </c>
      <c r="M242" s="209" t="str">
        <f t="shared" si="33"/>
        <v/>
      </c>
      <c r="N242" s="210" t="str">
        <f t="shared" si="34"/>
        <v/>
      </c>
      <c r="O242" s="210" t="str">
        <f t="shared" si="35"/>
        <v/>
      </c>
    </row>
    <row r="243" spans="11:15">
      <c r="K243" s="209" t="str">
        <f t="shared" si="32"/>
        <v/>
      </c>
      <c r="L243" s="209" t="str">
        <f>IF(E243="","",IF(COUNTIFS(Table2[[#All],[De (Lote)]],'Input_APM (Zenith)'!F243)&gt;0,INDEX(Table2[[#All],[Para (Ticker Daniel)]],MATCH('Input_APM (Zenith)'!F243,Table2[[#All],[De (Lote)]],0)),'Input_APM (Zenith)'!F243))</f>
        <v/>
      </c>
      <c r="M243" s="209" t="str">
        <f t="shared" si="33"/>
        <v/>
      </c>
      <c r="N243" s="210" t="str">
        <f t="shared" si="34"/>
        <v/>
      </c>
      <c r="O243" s="210" t="str">
        <f t="shared" si="35"/>
        <v/>
      </c>
    </row>
    <row r="244" spans="11:15">
      <c r="K244" s="209" t="str">
        <f t="shared" si="32"/>
        <v/>
      </c>
      <c r="L244" s="209" t="str">
        <f>IF(E244="","",IF(COUNTIFS(Table2[[#All],[De (Lote)]],'Input_APM (Zenith)'!F244)&gt;0,INDEX(Table2[[#All],[Para (Ticker Daniel)]],MATCH('Input_APM (Zenith)'!F244,Table2[[#All],[De (Lote)]],0)),'Input_APM (Zenith)'!F244))</f>
        <v/>
      </c>
      <c r="M244" s="209" t="str">
        <f t="shared" si="33"/>
        <v/>
      </c>
      <c r="N244" s="210" t="str">
        <f t="shared" si="34"/>
        <v/>
      </c>
      <c r="O244" s="210" t="str">
        <f t="shared" si="35"/>
        <v/>
      </c>
    </row>
    <row r="245" spans="11:15">
      <c r="K245" s="209" t="str">
        <f t="shared" si="32"/>
        <v/>
      </c>
      <c r="L245" s="209" t="str">
        <f>IF(E245="","",IF(COUNTIFS(Table2[[#All],[De (Lote)]],'Input_APM (Zenith)'!F245)&gt;0,INDEX(Table2[[#All],[Para (Ticker Daniel)]],MATCH('Input_APM (Zenith)'!F245,Table2[[#All],[De (Lote)]],0)),'Input_APM (Zenith)'!F245))</f>
        <v/>
      </c>
      <c r="M245" s="209" t="str">
        <f t="shared" si="33"/>
        <v/>
      </c>
      <c r="N245" s="210" t="str">
        <f t="shared" si="34"/>
        <v/>
      </c>
      <c r="O245" s="210" t="str">
        <f t="shared" si="35"/>
        <v/>
      </c>
    </row>
    <row r="246" spans="11:15">
      <c r="K246" s="209" t="str">
        <f t="shared" si="32"/>
        <v/>
      </c>
      <c r="L246" s="209" t="str">
        <f>IF(E246="","",IF(COUNTIFS(Table2[[#All],[De (Lote)]],'Input_APM (Zenith)'!F246)&gt;0,INDEX(Table2[[#All],[Para (Ticker Daniel)]],MATCH('Input_APM (Zenith)'!F246,Table2[[#All],[De (Lote)]],0)),'Input_APM (Zenith)'!F246))</f>
        <v/>
      </c>
      <c r="M246" s="209" t="str">
        <f t="shared" si="33"/>
        <v/>
      </c>
      <c r="N246" s="210" t="str">
        <f t="shared" si="34"/>
        <v/>
      </c>
      <c r="O246" s="210" t="str">
        <f t="shared" si="35"/>
        <v/>
      </c>
    </row>
    <row r="247" spans="11:15">
      <c r="K247" s="209" t="str">
        <f t="shared" si="32"/>
        <v/>
      </c>
      <c r="L247" s="209" t="str">
        <f>IF(E247="","",IF(COUNTIFS(Table2[[#All],[De (Lote)]],'Input_APM (Zenith)'!F247)&gt;0,INDEX(Table2[[#All],[Para (Ticker Daniel)]],MATCH('Input_APM (Zenith)'!F247,Table2[[#All],[De (Lote)]],0)),'Input_APM (Zenith)'!F247))</f>
        <v/>
      </c>
      <c r="M247" s="209" t="str">
        <f t="shared" si="33"/>
        <v/>
      </c>
      <c r="N247" s="210" t="str">
        <f t="shared" si="34"/>
        <v/>
      </c>
      <c r="O247" s="210" t="str">
        <f t="shared" si="35"/>
        <v/>
      </c>
    </row>
    <row r="248" spans="11:15">
      <c r="K248" s="209" t="str">
        <f t="shared" si="32"/>
        <v/>
      </c>
      <c r="L248" s="209" t="str">
        <f>IF(E248="","",IF(COUNTIFS(Table2[[#All],[De (Lote)]],'Input_APM (Zenith)'!F248)&gt;0,INDEX(Table2[[#All],[Para (Ticker Daniel)]],MATCH('Input_APM (Zenith)'!F248,Table2[[#All],[De (Lote)]],0)),'Input_APM (Zenith)'!F248))</f>
        <v/>
      </c>
      <c r="M248" s="209" t="str">
        <f t="shared" si="33"/>
        <v/>
      </c>
      <c r="N248" s="210" t="str">
        <f t="shared" si="34"/>
        <v/>
      </c>
      <c r="O248" s="210" t="str">
        <f t="shared" si="35"/>
        <v/>
      </c>
    </row>
    <row r="249" spans="11:15">
      <c r="K249" s="209" t="str">
        <f t="shared" si="32"/>
        <v/>
      </c>
      <c r="L249" s="209" t="str">
        <f>IF(E249="","",IF(COUNTIFS(Table2[[#All],[De (Lote)]],'Input_APM (Zenith)'!F249)&gt;0,INDEX(Table2[[#All],[Para (Ticker Daniel)]],MATCH('Input_APM (Zenith)'!F249,Table2[[#All],[De (Lote)]],0)),'Input_APM (Zenith)'!F249))</f>
        <v/>
      </c>
      <c r="M249" s="209" t="str">
        <f t="shared" si="33"/>
        <v/>
      </c>
      <c r="N249" s="210" t="str">
        <f t="shared" si="34"/>
        <v/>
      </c>
      <c r="O249" s="210" t="str">
        <f t="shared" si="35"/>
        <v/>
      </c>
    </row>
    <row r="250" spans="11:15">
      <c r="K250" s="209" t="str">
        <f t="shared" si="32"/>
        <v/>
      </c>
      <c r="L250" s="209" t="str">
        <f>IF(E250="","",IF(COUNTIFS(Table2[[#All],[De (Lote)]],'Input_APM (Zenith)'!F250)&gt;0,INDEX(Table2[[#All],[Para (Ticker Daniel)]],MATCH('Input_APM (Zenith)'!F250,Table2[[#All],[De (Lote)]],0)),'Input_APM (Zenith)'!F250))</f>
        <v/>
      </c>
      <c r="M250" s="209" t="str">
        <f t="shared" si="33"/>
        <v/>
      </c>
      <c r="N250" s="210" t="str">
        <f t="shared" si="34"/>
        <v/>
      </c>
      <c r="O250" s="210" t="str">
        <f t="shared" si="35"/>
        <v/>
      </c>
    </row>
    <row r="251" spans="11:15">
      <c r="K251" s="209" t="str">
        <f t="shared" si="32"/>
        <v/>
      </c>
      <c r="L251" s="209" t="str">
        <f>IF(E251="","",IF(COUNTIFS(Table2[[#All],[De (Lote)]],'Input_APM (Zenith)'!F251)&gt;0,INDEX(Table2[[#All],[Para (Ticker Daniel)]],MATCH('Input_APM (Zenith)'!F251,Table2[[#All],[De (Lote)]],0)),'Input_APM (Zenith)'!F251))</f>
        <v/>
      </c>
      <c r="M251" s="209" t="str">
        <f t="shared" si="33"/>
        <v/>
      </c>
      <c r="N251" s="210" t="str">
        <f t="shared" si="34"/>
        <v/>
      </c>
      <c r="O251" s="210" t="str">
        <f t="shared" si="35"/>
        <v/>
      </c>
    </row>
    <row r="252" spans="11:15">
      <c r="K252" s="209" t="str">
        <f t="shared" si="32"/>
        <v/>
      </c>
      <c r="L252" s="209" t="str">
        <f>IF(E252="","",IF(COUNTIFS(Table2[[#All],[De (Lote)]],'Input_APM (Zenith)'!F252)&gt;0,INDEX(Table2[[#All],[Para (Ticker Daniel)]],MATCH('Input_APM (Zenith)'!F252,Table2[[#All],[De (Lote)]],0)),'Input_APM (Zenith)'!F252))</f>
        <v/>
      </c>
      <c r="M252" s="209" t="str">
        <f t="shared" si="33"/>
        <v/>
      </c>
      <c r="N252" s="210" t="str">
        <f t="shared" si="34"/>
        <v/>
      </c>
      <c r="O252" s="210" t="str">
        <f t="shared" si="35"/>
        <v/>
      </c>
    </row>
    <row r="253" spans="11:15">
      <c r="K253" s="209" t="str">
        <f t="shared" si="32"/>
        <v/>
      </c>
      <c r="L253" s="209" t="str">
        <f>IF(E253="","",IF(COUNTIFS(Table2[[#All],[De (Lote)]],'Input_APM (Zenith)'!F253)&gt;0,INDEX(Table2[[#All],[Para (Ticker Daniel)]],MATCH('Input_APM (Zenith)'!F253,Table2[[#All],[De (Lote)]],0)),'Input_APM (Zenith)'!F253))</f>
        <v/>
      </c>
      <c r="M253" s="209" t="str">
        <f t="shared" si="33"/>
        <v/>
      </c>
      <c r="N253" s="210" t="str">
        <f t="shared" si="34"/>
        <v/>
      </c>
      <c r="O253" s="210" t="str">
        <f t="shared" si="35"/>
        <v/>
      </c>
    </row>
    <row r="254" spans="11:15">
      <c r="K254" s="209" t="str">
        <f t="shared" si="32"/>
        <v/>
      </c>
      <c r="L254" s="209" t="str">
        <f>IF(E254="","",IF(COUNTIFS(Table2[[#All],[De (Lote)]],'Input_APM (Zenith)'!F254)&gt;0,INDEX(Table2[[#All],[Para (Ticker Daniel)]],MATCH('Input_APM (Zenith)'!F254,Table2[[#All],[De (Lote)]],0)),'Input_APM (Zenith)'!F254))</f>
        <v/>
      </c>
      <c r="M254" s="209" t="str">
        <f t="shared" si="33"/>
        <v/>
      </c>
      <c r="N254" s="210" t="str">
        <f t="shared" si="34"/>
        <v/>
      </c>
      <c r="O254" s="210" t="str">
        <f t="shared" si="35"/>
        <v/>
      </c>
    </row>
    <row r="255" spans="11:15">
      <c r="K255" s="209" t="str">
        <f t="shared" si="32"/>
        <v/>
      </c>
      <c r="L255" s="209" t="str">
        <f>IF(E255="","",IF(COUNTIFS(Table2[[#All],[De (Lote)]],'Input_APM (Zenith)'!F255)&gt;0,INDEX(Table2[[#All],[Para (Ticker Daniel)]],MATCH('Input_APM (Zenith)'!F255,Table2[[#All],[De (Lote)]],0)),'Input_APM (Zenith)'!F255))</f>
        <v/>
      </c>
      <c r="M255" s="209" t="str">
        <f t="shared" si="33"/>
        <v/>
      </c>
      <c r="N255" s="210" t="str">
        <f t="shared" si="34"/>
        <v/>
      </c>
      <c r="O255" s="210" t="str">
        <f t="shared" si="35"/>
        <v/>
      </c>
    </row>
    <row r="256" spans="11:15">
      <c r="K256" s="209" t="str">
        <f t="shared" si="32"/>
        <v/>
      </c>
      <c r="L256" s="209" t="str">
        <f>IF(E256="","",IF(COUNTIFS(Table2[[#All],[De (Lote)]],'Input_APM (Zenith)'!F256)&gt;0,INDEX(Table2[[#All],[Para (Ticker Daniel)]],MATCH('Input_APM (Zenith)'!F256,Table2[[#All],[De (Lote)]],0)),'Input_APM (Zenith)'!F256))</f>
        <v/>
      </c>
      <c r="M256" s="209" t="str">
        <f t="shared" si="33"/>
        <v/>
      </c>
      <c r="N256" s="210" t="str">
        <f t="shared" si="34"/>
        <v/>
      </c>
      <c r="O256" s="210" t="str">
        <f t="shared" si="35"/>
        <v/>
      </c>
    </row>
    <row r="257" spans="11:15">
      <c r="K257" s="209" t="str">
        <f t="shared" si="32"/>
        <v/>
      </c>
      <c r="L257" s="209" t="str">
        <f>IF(E257="","",IF(COUNTIFS(Table2[[#All],[De (Lote)]],'Input_APM (Zenith)'!F257)&gt;0,INDEX(Table2[[#All],[Para (Ticker Daniel)]],MATCH('Input_APM (Zenith)'!F257,Table2[[#All],[De (Lote)]],0)),'Input_APM (Zenith)'!F257))</f>
        <v/>
      </c>
      <c r="M257" s="209" t="str">
        <f t="shared" si="33"/>
        <v/>
      </c>
      <c r="N257" s="210" t="str">
        <f t="shared" si="34"/>
        <v/>
      </c>
      <c r="O257" s="210" t="str">
        <f t="shared" si="35"/>
        <v/>
      </c>
    </row>
    <row r="258" spans="11:15">
      <c r="K258" s="209" t="str">
        <f t="shared" si="32"/>
        <v/>
      </c>
      <c r="L258" s="209" t="str">
        <f>IF(E258="","",IF(COUNTIFS(Table2[[#All],[De (Lote)]],'Input_APM (Zenith)'!F258)&gt;0,INDEX(Table2[[#All],[Para (Ticker Daniel)]],MATCH('Input_APM (Zenith)'!F258,Table2[[#All],[De (Lote)]],0)),'Input_APM (Zenith)'!F258))</f>
        <v/>
      </c>
      <c r="M258" s="209" t="str">
        <f t="shared" si="33"/>
        <v/>
      </c>
      <c r="N258" s="210" t="str">
        <f t="shared" si="34"/>
        <v/>
      </c>
      <c r="O258" s="210" t="str">
        <f t="shared" si="35"/>
        <v/>
      </c>
    </row>
    <row r="259" spans="11:15">
      <c r="K259" s="209" t="str">
        <f t="shared" si="32"/>
        <v/>
      </c>
      <c r="L259" s="209" t="str">
        <f>IF(E259="","",IF(COUNTIFS(Table2[[#All],[De (Lote)]],'Input_APM (Zenith)'!F259)&gt;0,INDEX(Table2[[#All],[Para (Ticker Daniel)]],MATCH('Input_APM (Zenith)'!F259,Table2[[#All],[De (Lote)]],0)),'Input_APM (Zenith)'!F259))</f>
        <v/>
      </c>
      <c r="M259" s="209" t="str">
        <f t="shared" si="33"/>
        <v/>
      </c>
      <c r="N259" s="210" t="str">
        <f t="shared" si="34"/>
        <v/>
      </c>
      <c r="O259" s="210" t="str">
        <f t="shared" si="35"/>
        <v/>
      </c>
    </row>
    <row r="260" spans="11:15">
      <c r="K260" s="209" t="str">
        <f t="shared" si="32"/>
        <v/>
      </c>
      <c r="L260" s="209" t="str">
        <f>IF(E260="","",IF(COUNTIFS(Table2[[#All],[De (Lote)]],'Input_APM (Zenith)'!F260)&gt;0,INDEX(Table2[[#All],[Para (Ticker Daniel)]],MATCH('Input_APM (Zenith)'!F260,Table2[[#All],[De (Lote)]],0)),'Input_APM (Zenith)'!F260))</f>
        <v/>
      </c>
      <c r="M260" s="209" t="str">
        <f t="shared" si="33"/>
        <v/>
      </c>
      <c r="N260" s="210" t="str">
        <f t="shared" si="34"/>
        <v/>
      </c>
      <c r="O260" s="210" t="str">
        <f t="shared" si="35"/>
        <v/>
      </c>
    </row>
    <row r="261" spans="11:15">
      <c r="K261" s="209" t="str">
        <f t="shared" si="32"/>
        <v/>
      </c>
      <c r="L261" s="209" t="str">
        <f>IF(E261="","",IF(COUNTIFS(Table2[[#All],[De (Lote)]],'Input_APM (Zenith)'!F261)&gt;0,INDEX(Table2[[#All],[Para (Ticker Daniel)]],MATCH('Input_APM (Zenith)'!F261,Table2[[#All],[De (Lote)]],0)),'Input_APM (Zenith)'!F261))</f>
        <v/>
      </c>
      <c r="M261" s="209" t="str">
        <f t="shared" si="33"/>
        <v/>
      </c>
      <c r="N261" s="210" t="str">
        <f t="shared" si="34"/>
        <v/>
      </c>
      <c r="O261" s="210" t="str">
        <f t="shared" si="35"/>
        <v/>
      </c>
    </row>
    <row r="262" spans="11:15">
      <c r="K262" s="209" t="str">
        <f t="shared" ref="K262:K267" si="36">IF(E262="","",E262)</f>
        <v/>
      </c>
      <c r="L262" s="209" t="str">
        <f>IF(E262="","",IF(COUNTIFS(Table2[[#All],[De (Lote)]],'Input_APM (Zenith)'!F262)&gt;0,INDEX(Table2[[#All],[Para (Ticker Daniel)]],MATCH('Input_APM (Zenith)'!F262,Table2[[#All],[De (Lote)]],0)),'Input_APM (Zenith)'!F262))</f>
        <v/>
      </c>
      <c r="M262" s="209" t="str">
        <f t="shared" ref="M262:M267" si="37">IF(E262="","",G262)</f>
        <v/>
      </c>
      <c r="N262" s="210" t="str">
        <f t="shared" ref="N262:N267" si="38">IF(E262="","",H262)</f>
        <v/>
      </c>
      <c r="O262" s="210" t="str">
        <f t="shared" ref="O262:O267" si="39">IF(E262="","",I262)</f>
        <v/>
      </c>
    </row>
    <row r="263" spans="11:15">
      <c r="K263" s="209" t="str">
        <f t="shared" si="36"/>
        <v/>
      </c>
      <c r="L263" s="209" t="str">
        <f>IF(E263="","",IF(COUNTIFS(Table2[[#All],[De (Lote)]],'Input_APM (Zenith)'!F263)&gt;0,INDEX(Table2[[#All],[Para (Ticker Daniel)]],MATCH('Input_APM (Zenith)'!F263,Table2[[#All],[De (Lote)]],0)),'Input_APM (Zenith)'!F263))</f>
        <v/>
      </c>
      <c r="M263" s="209" t="str">
        <f t="shared" si="37"/>
        <v/>
      </c>
      <c r="N263" s="210" t="str">
        <f t="shared" si="38"/>
        <v/>
      </c>
      <c r="O263" s="210" t="str">
        <f t="shared" si="39"/>
        <v/>
      </c>
    </row>
    <row r="264" spans="11:15">
      <c r="K264" s="209" t="str">
        <f t="shared" si="36"/>
        <v/>
      </c>
      <c r="L264" s="209" t="str">
        <f>IF(E264="","",IF(COUNTIFS(Table2[[#All],[De (Lote)]],'Input_APM (Zenith)'!F264)&gt;0,INDEX(Table2[[#All],[Para (Ticker Daniel)]],MATCH('Input_APM (Zenith)'!F264,Table2[[#All],[De (Lote)]],0)),'Input_APM (Zenith)'!F264))</f>
        <v/>
      </c>
      <c r="M264" s="209" t="str">
        <f t="shared" si="37"/>
        <v/>
      </c>
      <c r="N264" s="210" t="str">
        <f t="shared" si="38"/>
        <v/>
      </c>
      <c r="O264" s="210" t="str">
        <f t="shared" si="39"/>
        <v/>
      </c>
    </row>
    <row r="265" spans="11:15">
      <c r="K265" s="209" t="str">
        <f t="shared" si="36"/>
        <v/>
      </c>
      <c r="L265" s="209" t="str">
        <f>IF(E265="","",IF(COUNTIFS(Table2[[#All],[De (Lote)]],'Input_APM (Zenith)'!F265)&gt;0,INDEX(Table2[[#All],[Para (Ticker Daniel)]],MATCH('Input_APM (Zenith)'!F265,Table2[[#All],[De (Lote)]],0)),'Input_APM (Zenith)'!F265))</f>
        <v/>
      </c>
      <c r="M265" s="209" t="str">
        <f t="shared" si="37"/>
        <v/>
      </c>
      <c r="N265" s="210" t="str">
        <f t="shared" si="38"/>
        <v/>
      </c>
      <c r="O265" s="210" t="str">
        <f t="shared" si="39"/>
        <v/>
      </c>
    </row>
    <row r="266" spans="11:15">
      <c r="K266" s="209" t="str">
        <f t="shared" si="36"/>
        <v/>
      </c>
      <c r="L266" s="209" t="str">
        <f>IF(E266="","",IF(COUNTIFS(Table2[[#All],[De (Lote)]],'Input_APM (Zenith)'!F266)&gt;0,INDEX(Table2[[#All],[Para (Ticker Daniel)]],MATCH('Input_APM (Zenith)'!F266,Table2[[#All],[De (Lote)]],0)),'Input_APM (Zenith)'!F266))</f>
        <v/>
      </c>
      <c r="M266" s="209" t="str">
        <f t="shared" si="37"/>
        <v/>
      </c>
      <c r="N266" s="210" t="str">
        <f t="shared" si="38"/>
        <v/>
      </c>
      <c r="O266" s="210" t="str">
        <f t="shared" si="39"/>
        <v/>
      </c>
    </row>
    <row r="267" spans="11:15">
      <c r="K267" s="209" t="str">
        <f t="shared" si="36"/>
        <v/>
      </c>
      <c r="L267" s="209" t="str">
        <f>IF(E267="","",IF(COUNTIFS(Table2[[#All],[De (Lote)]],'Input_APM (Zenith)'!F267)&gt;0,INDEX(Table2[[#All],[Para (Ticker Daniel)]],MATCH('Input_APM (Zenith)'!F267,Table2[[#All],[De (Lote)]],0)),'Input_APM (Zenith)'!F267))</f>
        <v/>
      </c>
      <c r="M267" s="209" t="str">
        <f t="shared" si="37"/>
        <v/>
      </c>
      <c r="N267" s="210" t="str">
        <f t="shared" si="38"/>
        <v/>
      </c>
      <c r="O267" s="210" t="str">
        <f t="shared" si="39"/>
        <v/>
      </c>
    </row>
    <row r="268" spans="11:15">
      <c r="K268" s="209" t="str">
        <f t="shared" ref="K268:K293" si="40">IF(E268="","",E268)</f>
        <v/>
      </c>
      <c r="L268" s="209" t="str">
        <f>IF(E268="","",IF(COUNTIFS(Table2[[#All],[De (Lote)]],'Input_APM (Zenith)'!F268)&gt;0,INDEX(Table2[[#All],[Para (Ticker Daniel)]],MATCH('Input_APM (Zenith)'!F268,Table2[[#All],[De (Lote)]],0)),'Input_APM (Zenith)'!F268))</f>
        <v/>
      </c>
      <c r="M268" s="209" t="str">
        <f t="shared" ref="M268:M293" si="41">IF(E268="","",G268)</f>
        <v/>
      </c>
      <c r="N268" s="210" t="str">
        <f t="shared" ref="N268:N293" si="42">IF(E268="","",H268)</f>
        <v/>
      </c>
      <c r="O268" s="210" t="str">
        <f t="shared" ref="O268:O293" si="43">IF(E268="","",I268)</f>
        <v/>
      </c>
    </row>
    <row r="269" spans="11:15">
      <c r="K269" s="209" t="str">
        <f t="shared" si="40"/>
        <v/>
      </c>
      <c r="L269" s="209" t="str">
        <f>IF(E269="","",IF(COUNTIFS(Table2[[#All],[De (Lote)]],'Input_APM (Zenith)'!F269)&gt;0,INDEX(Table2[[#All],[Para (Ticker Daniel)]],MATCH('Input_APM (Zenith)'!F269,Table2[[#All],[De (Lote)]],0)),'Input_APM (Zenith)'!F269))</f>
        <v/>
      </c>
      <c r="M269" s="209" t="str">
        <f t="shared" si="41"/>
        <v/>
      </c>
      <c r="N269" s="210" t="str">
        <f t="shared" si="42"/>
        <v/>
      </c>
      <c r="O269" s="210" t="str">
        <f t="shared" si="43"/>
        <v/>
      </c>
    </row>
    <row r="270" spans="11:15">
      <c r="K270" s="209" t="str">
        <f t="shared" si="40"/>
        <v/>
      </c>
      <c r="L270" s="209" t="str">
        <f>IF(E270="","",IF(COUNTIFS(Table2[[#All],[De (Lote)]],'Input_APM (Zenith)'!F270)&gt;0,INDEX(Table2[[#All],[Para (Ticker Daniel)]],MATCH('Input_APM (Zenith)'!F270,Table2[[#All],[De (Lote)]],0)),'Input_APM (Zenith)'!F270))</f>
        <v/>
      </c>
      <c r="M270" s="209" t="str">
        <f t="shared" si="41"/>
        <v/>
      </c>
      <c r="N270" s="210" t="str">
        <f t="shared" si="42"/>
        <v/>
      </c>
      <c r="O270" s="210" t="str">
        <f t="shared" si="43"/>
        <v/>
      </c>
    </row>
    <row r="271" spans="11:15">
      <c r="K271" s="209" t="str">
        <f t="shared" si="40"/>
        <v/>
      </c>
      <c r="L271" s="209" t="str">
        <f>IF(E271="","",IF(COUNTIFS(Table2[[#All],[De (Lote)]],'Input_APM (Zenith)'!F271)&gt;0,INDEX(Table2[[#All],[Para (Ticker Daniel)]],MATCH('Input_APM (Zenith)'!F271,Table2[[#All],[De (Lote)]],0)),'Input_APM (Zenith)'!F271))</f>
        <v/>
      </c>
      <c r="M271" s="209" t="str">
        <f t="shared" si="41"/>
        <v/>
      </c>
      <c r="N271" s="210" t="str">
        <f t="shared" si="42"/>
        <v/>
      </c>
      <c r="O271" s="210" t="str">
        <f t="shared" si="43"/>
        <v/>
      </c>
    </row>
    <row r="272" spans="11:15">
      <c r="K272" s="209" t="str">
        <f t="shared" si="40"/>
        <v/>
      </c>
      <c r="L272" s="209" t="str">
        <f>IF(E272="","",IF(COUNTIFS(Table2[[#All],[De (Lote)]],'Input_APM (Zenith)'!F272)&gt;0,INDEX(Table2[[#All],[Para (Ticker Daniel)]],MATCH('Input_APM (Zenith)'!F272,Table2[[#All],[De (Lote)]],0)),'Input_APM (Zenith)'!F272))</f>
        <v/>
      </c>
      <c r="M272" s="209" t="str">
        <f t="shared" si="41"/>
        <v/>
      </c>
      <c r="N272" s="210" t="str">
        <f t="shared" si="42"/>
        <v/>
      </c>
      <c r="O272" s="210" t="str">
        <f t="shared" si="43"/>
        <v/>
      </c>
    </row>
    <row r="273" spans="11:15">
      <c r="K273" s="209" t="str">
        <f t="shared" si="40"/>
        <v/>
      </c>
      <c r="L273" s="209" t="str">
        <f>IF(E273="","",IF(COUNTIFS(Table2[[#All],[De (Lote)]],'Input_APM (Zenith)'!F273)&gt;0,INDEX(Table2[[#All],[Para (Ticker Daniel)]],MATCH('Input_APM (Zenith)'!F273,Table2[[#All],[De (Lote)]],0)),'Input_APM (Zenith)'!F273))</f>
        <v/>
      </c>
      <c r="M273" s="209" t="str">
        <f t="shared" si="41"/>
        <v/>
      </c>
      <c r="N273" s="210" t="str">
        <f t="shared" si="42"/>
        <v/>
      </c>
      <c r="O273" s="210" t="str">
        <f t="shared" si="43"/>
        <v/>
      </c>
    </row>
    <row r="274" spans="11:15">
      <c r="K274" s="209" t="str">
        <f t="shared" si="40"/>
        <v/>
      </c>
      <c r="L274" s="209" t="str">
        <f>IF(E274="","",IF(COUNTIFS(Table2[[#All],[De (Lote)]],'Input_APM (Zenith)'!F274)&gt;0,INDEX(Table2[[#All],[Para (Ticker Daniel)]],MATCH('Input_APM (Zenith)'!F274,Table2[[#All],[De (Lote)]],0)),'Input_APM (Zenith)'!F274))</f>
        <v/>
      </c>
      <c r="M274" s="209" t="str">
        <f t="shared" si="41"/>
        <v/>
      </c>
      <c r="N274" s="210" t="str">
        <f t="shared" si="42"/>
        <v/>
      </c>
      <c r="O274" s="210" t="str">
        <f t="shared" si="43"/>
        <v/>
      </c>
    </row>
    <row r="275" spans="11:15">
      <c r="K275" s="209" t="str">
        <f t="shared" si="40"/>
        <v/>
      </c>
      <c r="L275" s="209" t="str">
        <f>IF(E275="","",IF(COUNTIFS(Table2[[#All],[De (Lote)]],'Input_APM (Zenith)'!F275)&gt;0,INDEX(Table2[[#All],[Para (Ticker Daniel)]],MATCH('Input_APM (Zenith)'!F275,Table2[[#All],[De (Lote)]],0)),'Input_APM (Zenith)'!F275))</f>
        <v/>
      </c>
      <c r="M275" s="209" t="str">
        <f t="shared" si="41"/>
        <v/>
      </c>
      <c r="N275" s="210" t="str">
        <f t="shared" si="42"/>
        <v/>
      </c>
      <c r="O275" s="210" t="str">
        <f t="shared" si="43"/>
        <v/>
      </c>
    </row>
    <row r="276" spans="11:15">
      <c r="K276" s="209" t="str">
        <f t="shared" si="40"/>
        <v/>
      </c>
      <c r="L276" s="209" t="str">
        <f>IF(E276="","",IF(COUNTIFS(Table2[[#All],[De (Lote)]],'Input_APM (Zenith)'!F276)&gt;0,INDEX(Table2[[#All],[Para (Ticker Daniel)]],MATCH('Input_APM (Zenith)'!F276,Table2[[#All],[De (Lote)]],0)),'Input_APM (Zenith)'!F276))</f>
        <v/>
      </c>
      <c r="M276" s="209" t="str">
        <f t="shared" si="41"/>
        <v/>
      </c>
      <c r="N276" s="210" t="str">
        <f t="shared" si="42"/>
        <v/>
      </c>
      <c r="O276" s="210" t="str">
        <f t="shared" si="43"/>
        <v/>
      </c>
    </row>
    <row r="277" spans="11:15">
      <c r="K277" s="209" t="str">
        <f t="shared" si="40"/>
        <v/>
      </c>
      <c r="L277" s="209" t="str">
        <f>IF(E277="","",IF(COUNTIFS(Table2[[#All],[De (Lote)]],'Input_APM (Zenith)'!F277)&gt;0,INDEX(Table2[[#All],[Para (Ticker Daniel)]],MATCH('Input_APM (Zenith)'!F277,Table2[[#All],[De (Lote)]],0)),'Input_APM (Zenith)'!F277))</f>
        <v/>
      </c>
      <c r="M277" s="209" t="str">
        <f t="shared" si="41"/>
        <v/>
      </c>
      <c r="N277" s="210" t="str">
        <f t="shared" si="42"/>
        <v/>
      </c>
      <c r="O277" s="210" t="str">
        <f t="shared" si="43"/>
        <v/>
      </c>
    </row>
    <row r="278" spans="11:15">
      <c r="K278" s="209" t="str">
        <f t="shared" si="40"/>
        <v/>
      </c>
      <c r="L278" s="209" t="str">
        <f>IF(E278="","",IF(COUNTIFS(Table2[[#All],[De (Lote)]],'Input_APM (Zenith)'!F278)&gt;0,INDEX(Table2[[#All],[Para (Ticker Daniel)]],MATCH('Input_APM (Zenith)'!F278,Table2[[#All],[De (Lote)]],0)),'Input_APM (Zenith)'!F278))</f>
        <v/>
      </c>
      <c r="M278" s="209" t="str">
        <f t="shared" si="41"/>
        <v/>
      </c>
      <c r="N278" s="210" t="str">
        <f t="shared" si="42"/>
        <v/>
      </c>
      <c r="O278" s="210" t="str">
        <f t="shared" si="43"/>
        <v/>
      </c>
    </row>
    <row r="279" spans="11:15">
      <c r="K279" s="209" t="str">
        <f t="shared" si="40"/>
        <v/>
      </c>
      <c r="L279" s="209" t="str">
        <f>IF(E279="","",IF(COUNTIFS(Table2[[#All],[De (Lote)]],'Input_APM (Zenith)'!F279)&gt;0,INDEX(Table2[[#All],[Para (Ticker Daniel)]],MATCH('Input_APM (Zenith)'!F279,Table2[[#All],[De (Lote)]],0)),'Input_APM (Zenith)'!F279))</f>
        <v/>
      </c>
      <c r="M279" s="209" t="str">
        <f t="shared" si="41"/>
        <v/>
      </c>
      <c r="N279" s="210" t="str">
        <f t="shared" si="42"/>
        <v/>
      </c>
      <c r="O279" s="210" t="str">
        <f t="shared" si="43"/>
        <v/>
      </c>
    </row>
    <row r="280" spans="11:15">
      <c r="K280" s="209" t="str">
        <f t="shared" si="40"/>
        <v/>
      </c>
      <c r="L280" s="209" t="str">
        <f>IF(E280="","",IF(COUNTIFS(Table2[[#All],[De (Lote)]],'Input_APM (Zenith)'!F280)&gt;0,INDEX(Table2[[#All],[Para (Ticker Daniel)]],MATCH('Input_APM (Zenith)'!F280,Table2[[#All],[De (Lote)]],0)),'Input_APM (Zenith)'!F280))</f>
        <v/>
      </c>
      <c r="M280" s="209" t="str">
        <f t="shared" si="41"/>
        <v/>
      </c>
      <c r="N280" s="210" t="str">
        <f t="shared" si="42"/>
        <v/>
      </c>
      <c r="O280" s="210" t="str">
        <f t="shared" si="43"/>
        <v/>
      </c>
    </row>
    <row r="281" spans="11:15">
      <c r="K281" s="209" t="str">
        <f t="shared" si="40"/>
        <v/>
      </c>
      <c r="L281" s="209" t="str">
        <f>IF(E281="","",IF(COUNTIFS(Table2[[#All],[De (Lote)]],'Input_APM (Zenith)'!F281)&gt;0,INDEX(Table2[[#All],[Para (Ticker Daniel)]],MATCH('Input_APM (Zenith)'!F281,Table2[[#All],[De (Lote)]],0)),'Input_APM (Zenith)'!F281))</f>
        <v/>
      </c>
      <c r="M281" s="209" t="str">
        <f t="shared" si="41"/>
        <v/>
      </c>
      <c r="N281" s="210" t="str">
        <f t="shared" si="42"/>
        <v/>
      </c>
      <c r="O281" s="210" t="str">
        <f t="shared" si="43"/>
        <v/>
      </c>
    </row>
    <row r="282" spans="11:15">
      <c r="K282" s="209" t="str">
        <f t="shared" si="40"/>
        <v/>
      </c>
      <c r="L282" s="209" t="str">
        <f>IF(E282="","",IF(COUNTIFS(Table2[[#All],[De (Lote)]],'Input_APM (Zenith)'!F282)&gt;0,INDEX(Table2[[#All],[Para (Ticker Daniel)]],MATCH('Input_APM (Zenith)'!F282,Table2[[#All],[De (Lote)]],0)),'Input_APM (Zenith)'!F282))</f>
        <v/>
      </c>
      <c r="M282" s="209" t="str">
        <f t="shared" si="41"/>
        <v/>
      </c>
      <c r="N282" s="210" t="str">
        <f t="shared" si="42"/>
        <v/>
      </c>
      <c r="O282" s="210" t="str">
        <f t="shared" si="43"/>
        <v/>
      </c>
    </row>
    <row r="283" spans="11:15">
      <c r="K283" s="209" t="str">
        <f t="shared" si="40"/>
        <v/>
      </c>
      <c r="L283" s="209" t="str">
        <f>IF(E283="","",IF(COUNTIFS(Table2[[#All],[De (Lote)]],'Input_APM (Zenith)'!F283)&gt;0,INDEX(Table2[[#All],[Para (Ticker Daniel)]],MATCH('Input_APM (Zenith)'!F283,Table2[[#All],[De (Lote)]],0)),'Input_APM (Zenith)'!F283))</f>
        <v/>
      </c>
      <c r="M283" s="209" t="str">
        <f t="shared" si="41"/>
        <v/>
      </c>
      <c r="N283" s="210" t="str">
        <f t="shared" si="42"/>
        <v/>
      </c>
      <c r="O283" s="210" t="str">
        <f t="shared" si="43"/>
        <v/>
      </c>
    </row>
    <row r="284" spans="11:15">
      <c r="K284" s="209" t="str">
        <f t="shared" si="40"/>
        <v/>
      </c>
      <c r="L284" s="209" t="str">
        <f>IF(E284="","",IF(COUNTIFS(Table2[[#All],[De (Lote)]],'Input_APM (Zenith)'!F284)&gt;0,INDEX(Table2[[#All],[Para (Ticker Daniel)]],MATCH('Input_APM (Zenith)'!F284,Table2[[#All],[De (Lote)]],0)),'Input_APM (Zenith)'!F284))</f>
        <v/>
      </c>
      <c r="M284" s="209" t="str">
        <f t="shared" si="41"/>
        <v/>
      </c>
      <c r="N284" s="210" t="str">
        <f t="shared" si="42"/>
        <v/>
      </c>
      <c r="O284" s="210" t="str">
        <f t="shared" si="43"/>
        <v/>
      </c>
    </row>
    <row r="285" spans="11:15">
      <c r="K285" s="209" t="str">
        <f t="shared" si="40"/>
        <v/>
      </c>
      <c r="L285" s="209" t="str">
        <f>IF(E285="","",IF(COUNTIFS(Table2[[#All],[De (Lote)]],'Input_APM (Zenith)'!F285)&gt;0,INDEX(Table2[[#All],[Para (Ticker Daniel)]],MATCH('Input_APM (Zenith)'!F285,Table2[[#All],[De (Lote)]],0)),'Input_APM (Zenith)'!F285))</f>
        <v/>
      </c>
      <c r="M285" s="209" t="str">
        <f t="shared" si="41"/>
        <v/>
      </c>
      <c r="N285" s="210" t="str">
        <f t="shared" si="42"/>
        <v/>
      </c>
      <c r="O285" s="210" t="str">
        <f t="shared" si="43"/>
        <v/>
      </c>
    </row>
    <row r="286" spans="11:15">
      <c r="K286" s="209" t="str">
        <f t="shared" si="40"/>
        <v/>
      </c>
      <c r="L286" s="209" t="str">
        <f>IF(E286="","",IF(COUNTIFS(Table2[[#All],[De (Lote)]],'Input_APM (Zenith)'!F286)&gt;0,INDEX(Table2[[#All],[Para (Ticker Daniel)]],MATCH('Input_APM (Zenith)'!F286,Table2[[#All],[De (Lote)]],0)),'Input_APM (Zenith)'!F286))</f>
        <v/>
      </c>
      <c r="M286" s="209" t="str">
        <f t="shared" si="41"/>
        <v/>
      </c>
      <c r="N286" s="210" t="str">
        <f t="shared" si="42"/>
        <v/>
      </c>
      <c r="O286" s="210" t="str">
        <f t="shared" si="43"/>
        <v/>
      </c>
    </row>
    <row r="287" spans="11:15">
      <c r="K287" s="209" t="str">
        <f t="shared" si="40"/>
        <v/>
      </c>
      <c r="L287" s="209" t="str">
        <f>IF(E287="","",IF(COUNTIFS(Table2[[#All],[De (Lote)]],'Input_APM (Zenith)'!F287)&gt;0,INDEX(Table2[[#All],[Para (Ticker Daniel)]],MATCH('Input_APM (Zenith)'!F287,Table2[[#All],[De (Lote)]],0)),'Input_APM (Zenith)'!F287))</f>
        <v/>
      </c>
      <c r="M287" s="209" t="str">
        <f t="shared" si="41"/>
        <v/>
      </c>
      <c r="N287" s="210" t="str">
        <f t="shared" si="42"/>
        <v/>
      </c>
      <c r="O287" s="210" t="str">
        <f t="shared" si="43"/>
        <v/>
      </c>
    </row>
    <row r="288" spans="11:15">
      <c r="K288" s="209" t="str">
        <f t="shared" si="40"/>
        <v/>
      </c>
      <c r="L288" s="209" t="str">
        <f>IF(E288="","",IF(COUNTIFS(Table2[[#All],[De (Lote)]],'Input_APM (Zenith)'!F288)&gt;0,INDEX(Table2[[#All],[Para (Ticker Daniel)]],MATCH('Input_APM (Zenith)'!F288,Table2[[#All],[De (Lote)]],0)),'Input_APM (Zenith)'!F288))</f>
        <v/>
      </c>
      <c r="M288" s="209" t="str">
        <f t="shared" si="41"/>
        <v/>
      </c>
      <c r="N288" s="210" t="str">
        <f t="shared" si="42"/>
        <v/>
      </c>
      <c r="O288" s="210" t="str">
        <f t="shared" si="43"/>
        <v/>
      </c>
    </row>
    <row r="289" spans="11:15">
      <c r="K289" s="209" t="str">
        <f t="shared" si="40"/>
        <v/>
      </c>
      <c r="L289" s="209" t="str">
        <f>IF(E289="","",IF(COUNTIFS(Table2[[#All],[De (Lote)]],'Input_APM (Zenith)'!F289)&gt;0,INDEX(Table2[[#All],[Para (Ticker Daniel)]],MATCH('Input_APM (Zenith)'!F289,Table2[[#All],[De (Lote)]],0)),'Input_APM (Zenith)'!F289))</f>
        <v/>
      </c>
      <c r="M289" s="209" t="str">
        <f t="shared" si="41"/>
        <v/>
      </c>
      <c r="N289" s="210" t="str">
        <f t="shared" si="42"/>
        <v/>
      </c>
      <c r="O289" s="210" t="str">
        <f t="shared" si="43"/>
        <v/>
      </c>
    </row>
    <row r="290" spans="11:15">
      <c r="K290" s="209" t="str">
        <f t="shared" si="40"/>
        <v/>
      </c>
      <c r="L290" s="209" t="str">
        <f>IF(E290="","",IF(COUNTIFS(Table2[[#All],[De (Lote)]],'Input_APM (Zenith)'!F290)&gt;0,INDEX(Table2[[#All],[Para (Ticker Daniel)]],MATCH('Input_APM (Zenith)'!F290,Table2[[#All],[De (Lote)]],0)),'Input_APM (Zenith)'!F290))</f>
        <v/>
      </c>
      <c r="M290" s="209" t="str">
        <f t="shared" si="41"/>
        <v/>
      </c>
      <c r="N290" s="210" t="str">
        <f t="shared" si="42"/>
        <v/>
      </c>
      <c r="O290" s="210" t="str">
        <f t="shared" si="43"/>
        <v/>
      </c>
    </row>
    <row r="291" spans="11:15">
      <c r="K291" s="209" t="str">
        <f t="shared" si="40"/>
        <v/>
      </c>
      <c r="L291" s="209" t="str">
        <f>IF(E291="","",IF(COUNTIFS(Table2[[#All],[De (Lote)]],'Input_APM (Zenith)'!F291)&gt;0,INDEX(Table2[[#All],[Para (Ticker Daniel)]],MATCH('Input_APM (Zenith)'!F291,Table2[[#All],[De (Lote)]],0)),'Input_APM (Zenith)'!F291))</f>
        <v/>
      </c>
      <c r="M291" s="209" t="str">
        <f t="shared" si="41"/>
        <v/>
      </c>
      <c r="N291" s="210" t="str">
        <f t="shared" si="42"/>
        <v/>
      </c>
      <c r="O291" s="210" t="str">
        <f t="shared" si="43"/>
        <v/>
      </c>
    </row>
    <row r="292" spans="11:15">
      <c r="K292" s="209" t="str">
        <f t="shared" si="40"/>
        <v/>
      </c>
      <c r="L292" s="209" t="str">
        <f>IF(E292="","",IF(COUNTIFS(Table2[[#All],[De (Lote)]],'Input_APM (Zenith)'!F292)&gt;0,INDEX(Table2[[#All],[Para (Ticker Daniel)]],MATCH('Input_APM (Zenith)'!F292,Table2[[#All],[De (Lote)]],0)),'Input_APM (Zenith)'!F292))</f>
        <v/>
      </c>
      <c r="M292" s="209" t="str">
        <f t="shared" si="41"/>
        <v/>
      </c>
      <c r="N292" s="210" t="str">
        <f t="shared" si="42"/>
        <v/>
      </c>
      <c r="O292" s="210" t="str">
        <f t="shared" si="43"/>
        <v/>
      </c>
    </row>
    <row r="293" spans="11:15">
      <c r="K293" s="209" t="str">
        <f t="shared" si="40"/>
        <v/>
      </c>
      <c r="L293" s="209" t="str">
        <f>IF(E293="","",IF(COUNTIFS(Table2[[#All],[De (Lote)]],'Input_APM (Zenith)'!F293)&gt;0,INDEX(Table2[[#All],[Para (Ticker Daniel)]],MATCH('Input_APM (Zenith)'!F293,Table2[[#All],[De (Lote)]],0)),'Input_APM (Zenith)'!F293))</f>
        <v/>
      </c>
      <c r="M293" s="209" t="str">
        <f t="shared" si="41"/>
        <v/>
      </c>
      <c r="N293" s="210" t="str">
        <f t="shared" si="42"/>
        <v/>
      </c>
      <c r="O293" s="210" t="str">
        <f t="shared" si="43"/>
        <v/>
      </c>
    </row>
    <row r="294" spans="11:15">
      <c r="K294" s="209" t="str">
        <f t="shared" ref="K294:K357" si="44">IF(E294="","",E294)</f>
        <v/>
      </c>
      <c r="L294" s="209" t="str">
        <f>IF(E294="","",IF(COUNTIFS(Table2[[#All],[De (Lote)]],'Input_APM (Zenith)'!F294)&gt;0,INDEX(Table2[[#All],[Para (Ticker Daniel)]],MATCH('Input_APM (Zenith)'!F294,Table2[[#All],[De (Lote)]],0)),'Input_APM (Zenith)'!F294))</f>
        <v/>
      </c>
      <c r="M294" s="209" t="str">
        <f t="shared" ref="M294:M357" si="45">IF(E294="","",G294)</f>
        <v/>
      </c>
      <c r="N294" s="210" t="str">
        <f t="shared" ref="N294:N357" si="46">IF(E294="","",H294)</f>
        <v/>
      </c>
      <c r="O294" s="210" t="str">
        <f t="shared" ref="O294:O357" si="47">IF(E294="","",I294)</f>
        <v/>
      </c>
    </row>
    <row r="295" spans="11:15">
      <c r="K295" s="209" t="str">
        <f t="shared" si="44"/>
        <v/>
      </c>
      <c r="L295" s="209" t="str">
        <f>IF(E295="","",IF(COUNTIFS(Table2[[#All],[De (Lote)]],'Input_APM (Zenith)'!F295)&gt;0,INDEX(Table2[[#All],[Para (Ticker Daniel)]],MATCH('Input_APM (Zenith)'!F295,Table2[[#All],[De (Lote)]],0)),'Input_APM (Zenith)'!F295))</f>
        <v/>
      </c>
      <c r="M295" s="209" t="str">
        <f t="shared" si="45"/>
        <v/>
      </c>
      <c r="N295" s="210" t="str">
        <f t="shared" si="46"/>
        <v/>
      </c>
      <c r="O295" s="210" t="str">
        <f t="shared" si="47"/>
        <v/>
      </c>
    </row>
    <row r="296" spans="11:15">
      <c r="K296" s="209" t="str">
        <f t="shared" si="44"/>
        <v/>
      </c>
      <c r="L296" s="209" t="str">
        <f>IF(E296="","",IF(COUNTIFS(Table2[[#All],[De (Lote)]],'Input_APM (Zenith)'!F296)&gt;0,INDEX(Table2[[#All],[Para (Ticker Daniel)]],MATCH('Input_APM (Zenith)'!F296,Table2[[#All],[De (Lote)]],0)),'Input_APM (Zenith)'!F296))</f>
        <v/>
      </c>
      <c r="M296" s="209" t="str">
        <f t="shared" si="45"/>
        <v/>
      </c>
      <c r="N296" s="210" t="str">
        <f t="shared" si="46"/>
        <v/>
      </c>
      <c r="O296" s="210" t="str">
        <f t="shared" si="47"/>
        <v/>
      </c>
    </row>
    <row r="297" spans="11:15">
      <c r="K297" s="209" t="str">
        <f t="shared" si="44"/>
        <v/>
      </c>
      <c r="L297" s="209" t="str">
        <f>IF(E297="","",IF(COUNTIFS(Table2[[#All],[De (Lote)]],'Input_APM (Zenith)'!F297)&gt;0,INDEX(Table2[[#All],[Para (Ticker Daniel)]],MATCH('Input_APM (Zenith)'!F297,Table2[[#All],[De (Lote)]],0)),'Input_APM (Zenith)'!F297))</f>
        <v/>
      </c>
      <c r="M297" s="209" t="str">
        <f t="shared" si="45"/>
        <v/>
      </c>
      <c r="N297" s="210" t="str">
        <f t="shared" si="46"/>
        <v/>
      </c>
      <c r="O297" s="210" t="str">
        <f t="shared" si="47"/>
        <v/>
      </c>
    </row>
    <row r="298" spans="11:15">
      <c r="K298" s="209" t="str">
        <f t="shared" si="44"/>
        <v/>
      </c>
      <c r="L298" s="209" t="str">
        <f>IF(E298="","",IF(COUNTIFS(Table2[[#All],[De (Lote)]],'Input_APM (Zenith)'!F298)&gt;0,INDEX(Table2[[#All],[Para (Ticker Daniel)]],MATCH('Input_APM (Zenith)'!F298,Table2[[#All],[De (Lote)]],0)),'Input_APM (Zenith)'!F298))</f>
        <v/>
      </c>
      <c r="M298" s="209" t="str">
        <f t="shared" si="45"/>
        <v/>
      </c>
      <c r="N298" s="210" t="str">
        <f t="shared" si="46"/>
        <v/>
      </c>
      <c r="O298" s="210" t="str">
        <f t="shared" si="47"/>
        <v/>
      </c>
    </row>
    <row r="299" spans="11:15">
      <c r="K299" s="209" t="str">
        <f t="shared" si="44"/>
        <v/>
      </c>
      <c r="L299" s="209" t="str">
        <f>IF(E299="","",IF(COUNTIFS(Table2[[#All],[De (Lote)]],'Input_APM (Zenith)'!F299)&gt;0,INDEX(Table2[[#All],[Para (Ticker Daniel)]],MATCH('Input_APM (Zenith)'!F299,Table2[[#All],[De (Lote)]],0)),'Input_APM (Zenith)'!F299))</f>
        <v/>
      </c>
      <c r="M299" s="209" t="str">
        <f t="shared" si="45"/>
        <v/>
      </c>
      <c r="N299" s="210" t="str">
        <f t="shared" si="46"/>
        <v/>
      </c>
      <c r="O299" s="210" t="str">
        <f t="shared" si="47"/>
        <v/>
      </c>
    </row>
    <row r="300" spans="11:15">
      <c r="K300" s="209" t="str">
        <f t="shared" si="44"/>
        <v/>
      </c>
      <c r="L300" s="209" t="str">
        <f>IF(E300="","",IF(COUNTIFS(Table2[[#All],[De (Lote)]],'Input_APM (Zenith)'!F300)&gt;0,INDEX(Table2[[#All],[Para (Ticker Daniel)]],MATCH('Input_APM (Zenith)'!F300,Table2[[#All],[De (Lote)]],0)),'Input_APM (Zenith)'!F300))</f>
        <v/>
      </c>
      <c r="M300" s="209" t="str">
        <f t="shared" si="45"/>
        <v/>
      </c>
      <c r="N300" s="210" t="str">
        <f t="shared" si="46"/>
        <v/>
      </c>
      <c r="O300" s="210" t="str">
        <f t="shared" si="47"/>
        <v/>
      </c>
    </row>
    <row r="301" spans="11:15">
      <c r="K301" s="209" t="str">
        <f t="shared" si="44"/>
        <v/>
      </c>
      <c r="L301" s="209" t="str">
        <f>IF(E301="","",IF(COUNTIFS(Table2[[#All],[De (Lote)]],'Input_APM (Zenith)'!F301)&gt;0,INDEX(Table2[[#All],[Para (Ticker Daniel)]],MATCH('Input_APM (Zenith)'!F301,Table2[[#All],[De (Lote)]],0)),'Input_APM (Zenith)'!F301))</f>
        <v/>
      </c>
      <c r="M301" s="209" t="str">
        <f t="shared" si="45"/>
        <v/>
      </c>
      <c r="N301" s="210" t="str">
        <f t="shared" si="46"/>
        <v/>
      </c>
      <c r="O301" s="210" t="str">
        <f t="shared" si="47"/>
        <v/>
      </c>
    </row>
    <row r="302" spans="11:15">
      <c r="K302" s="209" t="str">
        <f t="shared" si="44"/>
        <v/>
      </c>
      <c r="L302" s="209" t="str">
        <f>IF(E302="","",IF(COUNTIFS(Table2[[#All],[De (Lote)]],'Input_APM (Zenith)'!F302)&gt;0,INDEX(Table2[[#All],[Para (Ticker Daniel)]],MATCH('Input_APM (Zenith)'!F302,Table2[[#All],[De (Lote)]],0)),'Input_APM (Zenith)'!F302))</f>
        <v/>
      </c>
      <c r="M302" s="209" t="str">
        <f t="shared" si="45"/>
        <v/>
      </c>
      <c r="N302" s="210" t="str">
        <f t="shared" si="46"/>
        <v/>
      </c>
      <c r="O302" s="210" t="str">
        <f t="shared" si="47"/>
        <v/>
      </c>
    </row>
    <row r="303" spans="11:15">
      <c r="K303" s="209" t="str">
        <f t="shared" si="44"/>
        <v/>
      </c>
      <c r="L303" s="209" t="str">
        <f>IF(E303="","",IF(COUNTIFS(Table2[[#All],[De (Lote)]],'Input_APM (Zenith)'!F303)&gt;0,INDEX(Table2[[#All],[Para (Ticker Daniel)]],MATCH('Input_APM (Zenith)'!F303,Table2[[#All],[De (Lote)]],0)),'Input_APM (Zenith)'!F303))</f>
        <v/>
      </c>
      <c r="M303" s="209" t="str">
        <f t="shared" si="45"/>
        <v/>
      </c>
      <c r="N303" s="210" t="str">
        <f t="shared" si="46"/>
        <v/>
      </c>
      <c r="O303" s="210" t="str">
        <f t="shared" si="47"/>
        <v/>
      </c>
    </row>
    <row r="304" spans="11:15">
      <c r="K304" s="209" t="str">
        <f t="shared" si="44"/>
        <v/>
      </c>
      <c r="L304" s="209" t="str">
        <f>IF(E304="","",IF(COUNTIFS(Table2[[#All],[De (Lote)]],'Input_APM (Zenith)'!F304)&gt;0,INDEX(Table2[[#All],[Para (Ticker Daniel)]],MATCH('Input_APM (Zenith)'!F304,Table2[[#All],[De (Lote)]],0)),'Input_APM (Zenith)'!F304))</f>
        <v/>
      </c>
      <c r="M304" s="209" t="str">
        <f t="shared" si="45"/>
        <v/>
      </c>
      <c r="N304" s="210" t="str">
        <f t="shared" si="46"/>
        <v/>
      </c>
      <c r="O304" s="210" t="str">
        <f t="shared" si="47"/>
        <v/>
      </c>
    </row>
    <row r="305" spans="11:15">
      <c r="K305" s="209" t="str">
        <f t="shared" si="44"/>
        <v/>
      </c>
      <c r="L305" s="209" t="str">
        <f>IF(E305="","",IF(COUNTIFS(Table2[[#All],[De (Lote)]],'Input_APM (Zenith)'!F305)&gt;0,INDEX(Table2[[#All],[Para (Ticker Daniel)]],MATCH('Input_APM (Zenith)'!F305,Table2[[#All],[De (Lote)]],0)),'Input_APM (Zenith)'!F305))</f>
        <v/>
      </c>
      <c r="M305" s="209" t="str">
        <f t="shared" si="45"/>
        <v/>
      </c>
      <c r="N305" s="210" t="str">
        <f t="shared" si="46"/>
        <v/>
      </c>
      <c r="O305" s="210" t="str">
        <f t="shared" si="47"/>
        <v/>
      </c>
    </row>
    <row r="306" spans="11:15">
      <c r="K306" s="209" t="str">
        <f t="shared" si="44"/>
        <v/>
      </c>
      <c r="L306" s="209" t="str">
        <f>IF(E306="","",IF(COUNTIFS(Table2[[#All],[De (Lote)]],'Input_APM (Zenith)'!F306)&gt;0,INDEX(Table2[[#All],[Para (Ticker Daniel)]],MATCH('Input_APM (Zenith)'!F306,Table2[[#All],[De (Lote)]],0)),'Input_APM (Zenith)'!F306))</f>
        <v/>
      </c>
      <c r="M306" s="209" t="str">
        <f t="shared" si="45"/>
        <v/>
      </c>
      <c r="N306" s="210" t="str">
        <f t="shared" si="46"/>
        <v/>
      </c>
      <c r="O306" s="210" t="str">
        <f t="shared" si="47"/>
        <v/>
      </c>
    </row>
    <row r="307" spans="11:15">
      <c r="K307" s="209" t="str">
        <f t="shared" si="44"/>
        <v/>
      </c>
      <c r="L307" s="209" t="str">
        <f>IF(E307="","",IF(COUNTIFS(Table2[[#All],[De (Lote)]],'Input_APM (Zenith)'!F307)&gt;0,INDEX(Table2[[#All],[Para (Ticker Daniel)]],MATCH('Input_APM (Zenith)'!F307,Table2[[#All],[De (Lote)]],0)),'Input_APM (Zenith)'!F307))</f>
        <v/>
      </c>
      <c r="M307" s="209" t="str">
        <f t="shared" si="45"/>
        <v/>
      </c>
      <c r="N307" s="210" t="str">
        <f t="shared" si="46"/>
        <v/>
      </c>
      <c r="O307" s="210" t="str">
        <f t="shared" si="47"/>
        <v/>
      </c>
    </row>
    <row r="308" spans="11:15">
      <c r="K308" s="209" t="str">
        <f t="shared" si="44"/>
        <v/>
      </c>
      <c r="L308" s="209" t="str">
        <f>IF(E308="","",IF(COUNTIFS(Table2[[#All],[De (Lote)]],'Input_APM (Zenith)'!F308)&gt;0,INDEX(Table2[[#All],[Para (Ticker Daniel)]],MATCH('Input_APM (Zenith)'!F308,Table2[[#All],[De (Lote)]],0)),'Input_APM (Zenith)'!F308))</f>
        <v/>
      </c>
      <c r="M308" s="209" t="str">
        <f t="shared" si="45"/>
        <v/>
      </c>
      <c r="N308" s="210" t="str">
        <f t="shared" si="46"/>
        <v/>
      </c>
      <c r="O308" s="210" t="str">
        <f t="shared" si="47"/>
        <v/>
      </c>
    </row>
    <row r="309" spans="11:15">
      <c r="K309" s="209" t="str">
        <f t="shared" si="44"/>
        <v/>
      </c>
      <c r="L309" s="209" t="str">
        <f>IF(E309="","",IF(COUNTIFS(Table2[[#All],[De (Lote)]],'Input_APM (Zenith)'!F309)&gt;0,INDEX(Table2[[#All],[Para (Ticker Daniel)]],MATCH('Input_APM (Zenith)'!F309,Table2[[#All],[De (Lote)]],0)),'Input_APM (Zenith)'!F309))</f>
        <v/>
      </c>
      <c r="M309" s="209" t="str">
        <f t="shared" si="45"/>
        <v/>
      </c>
      <c r="N309" s="210" t="str">
        <f t="shared" si="46"/>
        <v/>
      </c>
      <c r="O309" s="210" t="str">
        <f t="shared" si="47"/>
        <v/>
      </c>
    </row>
    <row r="310" spans="11:15">
      <c r="K310" s="209" t="str">
        <f t="shared" si="44"/>
        <v/>
      </c>
      <c r="L310" s="209" t="str">
        <f>IF(E310="","",IF(COUNTIFS(Table2[[#All],[De (Lote)]],'Input_APM (Zenith)'!F310)&gt;0,INDEX(Table2[[#All],[Para (Ticker Daniel)]],MATCH('Input_APM (Zenith)'!F310,Table2[[#All],[De (Lote)]],0)),'Input_APM (Zenith)'!F310))</f>
        <v/>
      </c>
      <c r="M310" s="209" t="str">
        <f t="shared" si="45"/>
        <v/>
      </c>
      <c r="N310" s="210" t="str">
        <f t="shared" si="46"/>
        <v/>
      </c>
      <c r="O310" s="210" t="str">
        <f t="shared" si="47"/>
        <v/>
      </c>
    </row>
    <row r="311" spans="11:15">
      <c r="K311" s="209" t="str">
        <f t="shared" si="44"/>
        <v/>
      </c>
      <c r="L311" s="209" t="str">
        <f>IF(E311="","",IF(COUNTIFS(Table2[[#All],[De (Lote)]],'Input_APM (Zenith)'!F311)&gt;0,INDEX(Table2[[#All],[Para (Ticker Daniel)]],MATCH('Input_APM (Zenith)'!F311,Table2[[#All],[De (Lote)]],0)),'Input_APM (Zenith)'!F311))</f>
        <v/>
      </c>
      <c r="M311" s="209" t="str">
        <f t="shared" si="45"/>
        <v/>
      </c>
      <c r="N311" s="210" t="str">
        <f t="shared" si="46"/>
        <v/>
      </c>
      <c r="O311" s="210" t="str">
        <f t="shared" si="47"/>
        <v/>
      </c>
    </row>
    <row r="312" spans="11:15">
      <c r="K312" s="209" t="str">
        <f t="shared" si="44"/>
        <v/>
      </c>
      <c r="L312" s="209" t="str">
        <f>IF(E312="","",IF(COUNTIFS(Table2[[#All],[De (Lote)]],'Input_APM (Zenith)'!F312)&gt;0,INDEX(Table2[[#All],[Para (Ticker Daniel)]],MATCH('Input_APM (Zenith)'!F312,Table2[[#All],[De (Lote)]],0)),'Input_APM (Zenith)'!F312))</f>
        <v/>
      </c>
      <c r="M312" s="209" t="str">
        <f t="shared" si="45"/>
        <v/>
      </c>
      <c r="N312" s="210" t="str">
        <f t="shared" si="46"/>
        <v/>
      </c>
      <c r="O312" s="210" t="str">
        <f t="shared" si="47"/>
        <v/>
      </c>
    </row>
    <row r="313" spans="11:15">
      <c r="K313" s="209" t="str">
        <f t="shared" si="44"/>
        <v/>
      </c>
      <c r="L313" s="209" t="str">
        <f>IF(E313="","",IF(COUNTIFS(Table2[[#All],[De (Lote)]],'Input_APM (Zenith)'!F313)&gt;0,INDEX(Table2[[#All],[Para (Ticker Daniel)]],MATCH('Input_APM (Zenith)'!F313,Table2[[#All],[De (Lote)]],0)),'Input_APM (Zenith)'!F313))</f>
        <v/>
      </c>
      <c r="M313" s="209" t="str">
        <f t="shared" si="45"/>
        <v/>
      </c>
      <c r="N313" s="210" t="str">
        <f t="shared" si="46"/>
        <v/>
      </c>
      <c r="O313" s="210" t="str">
        <f t="shared" si="47"/>
        <v/>
      </c>
    </row>
    <row r="314" spans="11:15">
      <c r="K314" s="209" t="str">
        <f t="shared" si="44"/>
        <v/>
      </c>
      <c r="L314" s="209" t="str">
        <f>IF(E314="","",IF(COUNTIFS(Table2[[#All],[De (Lote)]],'Input_APM (Zenith)'!F314)&gt;0,INDEX(Table2[[#All],[Para (Ticker Daniel)]],MATCH('Input_APM (Zenith)'!F314,Table2[[#All],[De (Lote)]],0)),'Input_APM (Zenith)'!F314))</f>
        <v/>
      </c>
      <c r="M314" s="209" t="str">
        <f t="shared" si="45"/>
        <v/>
      </c>
      <c r="N314" s="210" t="str">
        <f t="shared" si="46"/>
        <v/>
      </c>
      <c r="O314" s="210" t="str">
        <f t="shared" si="47"/>
        <v/>
      </c>
    </row>
    <row r="315" spans="11:15">
      <c r="K315" s="209" t="str">
        <f t="shared" si="44"/>
        <v/>
      </c>
      <c r="L315" s="209" t="str">
        <f>IF(E315="","",IF(COUNTIFS(Table2[[#All],[De (Lote)]],'Input_APM (Zenith)'!F315)&gt;0,INDEX(Table2[[#All],[Para (Ticker Daniel)]],MATCH('Input_APM (Zenith)'!F315,Table2[[#All],[De (Lote)]],0)),'Input_APM (Zenith)'!F315))</f>
        <v/>
      </c>
      <c r="M315" s="209" t="str">
        <f t="shared" si="45"/>
        <v/>
      </c>
      <c r="N315" s="210" t="str">
        <f t="shared" si="46"/>
        <v/>
      </c>
      <c r="O315" s="210" t="str">
        <f t="shared" si="47"/>
        <v/>
      </c>
    </row>
    <row r="316" spans="11:15">
      <c r="K316" s="209" t="str">
        <f t="shared" si="44"/>
        <v/>
      </c>
      <c r="L316" s="209" t="str">
        <f>IF(E316="","",IF(COUNTIFS(Table2[[#All],[De (Lote)]],'Input_APM (Zenith)'!F316)&gt;0,INDEX(Table2[[#All],[Para (Ticker Daniel)]],MATCH('Input_APM (Zenith)'!F316,Table2[[#All],[De (Lote)]],0)),'Input_APM (Zenith)'!F316))</f>
        <v/>
      </c>
      <c r="M316" s="209" t="str">
        <f t="shared" si="45"/>
        <v/>
      </c>
      <c r="N316" s="210" t="str">
        <f t="shared" si="46"/>
        <v/>
      </c>
      <c r="O316" s="210" t="str">
        <f t="shared" si="47"/>
        <v/>
      </c>
    </row>
    <row r="317" spans="11:15">
      <c r="K317" s="209" t="str">
        <f t="shared" si="44"/>
        <v/>
      </c>
      <c r="L317" s="209" t="str">
        <f>IF(E317="","",IF(COUNTIFS(Table2[[#All],[De (Lote)]],'Input_APM (Zenith)'!F317)&gt;0,INDEX(Table2[[#All],[Para (Ticker Daniel)]],MATCH('Input_APM (Zenith)'!F317,Table2[[#All],[De (Lote)]],0)),'Input_APM (Zenith)'!F317))</f>
        <v/>
      </c>
      <c r="M317" s="209" t="str">
        <f t="shared" si="45"/>
        <v/>
      </c>
      <c r="N317" s="210" t="str">
        <f t="shared" si="46"/>
        <v/>
      </c>
      <c r="O317" s="210" t="str">
        <f t="shared" si="47"/>
        <v/>
      </c>
    </row>
    <row r="318" spans="11:15">
      <c r="K318" s="209" t="str">
        <f t="shared" si="44"/>
        <v/>
      </c>
      <c r="L318" s="209" t="str">
        <f>IF(E318="","",IF(COUNTIFS(Table2[[#All],[De (Lote)]],'Input_APM (Zenith)'!F318)&gt;0,INDEX(Table2[[#All],[Para (Ticker Daniel)]],MATCH('Input_APM (Zenith)'!F318,Table2[[#All],[De (Lote)]],0)),'Input_APM (Zenith)'!F318))</f>
        <v/>
      </c>
      <c r="M318" s="209" t="str">
        <f t="shared" si="45"/>
        <v/>
      </c>
      <c r="N318" s="210" t="str">
        <f t="shared" si="46"/>
        <v/>
      </c>
      <c r="O318" s="210" t="str">
        <f t="shared" si="47"/>
        <v/>
      </c>
    </row>
    <row r="319" spans="11:15">
      <c r="K319" s="209" t="str">
        <f t="shared" si="44"/>
        <v/>
      </c>
      <c r="L319" s="209" t="str">
        <f>IF(E319="","",IF(COUNTIFS(Table2[[#All],[De (Lote)]],'Input_APM (Zenith)'!F319)&gt;0,INDEX(Table2[[#All],[Para (Ticker Daniel)]],MATCH('Input_APM (Zenith)'!F319,Table2[[#All],[De (Lote)]],0)),'Input_APM (Zenith)'!F319))</f>
        <v/>
      </c>
      <c r="M319" s="209" t="str">
        <f t="shared" si="45"/>
        <v/>
      </c>
      <c r="N319" s="210" t="str">
        <f t="shared" si="46"/>
        <v/>
      </c>
      <c r="O319" s="210" t="str">
        <f t="shared" si="47"/>
        <v/>
      </c>
    </row>
    <row r="320" spans="11:15">
      <c r="K320" s="209" t="str">
        <f t="shared" si="44"/>
        <v/>
      </c>
      <c r="L320" s="209" t="str">
        <f>IF(E320="","",IF(COUNTIFS(Table2[[#All],[De (Lote)]],'Input_APM (Zenith)'!F320)&gt;0,INDEX(Table2[[#All],[Para (Ticker Daniel)]],MATCH('Input_APM (Zenith)'!F320,Table2[[#All],[De (Lote)]],0)),'Input_APM (Zenith)'!F320))</f>
        <v/>
      </c>
      <c r="M320" s="209" t="str">
        <f t="shared" si="45"/>
        <v/>
      </c>
      <c r="N320" s="210" t="str">
        <f t="shared" si="46"/>
        <v/>
      </c>
      <c r="O320" s="210" t="str">
        <f t="shared" si="47"/>
        <v/>
      </c>
    </row>
    <row r="321" spans="11:15">
      <c r="K321" s="209" t="str">
        <f t="shared" si="44"/>
        <v/>
      </c>
      <c r="L321" s="209" t="str">
        <f>IF(E321="","",IF(COUNTIFS(Table2[[#All],[De (Lote)]],'Input_APM (Zenith)'!F321)&gt;0,INDEX(Table2[[#All],[Para (Ticker Daniel)]],MATCH('Input_APM (Zenith)'!F321,Table2[[#All],[De (Lote)]],0)),'Input_APM (Zenith)'!F321))</f>
        <v/>
      </c>
      <c r="M321" s="209" t="str">
        <f t="shared" si="45"/>
        <v/>
      </c>
      <c r="N321" s="210" t="str">
        <f t="shared" si="46"/>
        <v/>
      </c>
      <c r="O321" s="210" t="str">
        <f t="shared" si="47"/>
        <v/>
      </c>
    </row>
    <row r="322" spans="11:15">
      <c r="K322" s="209" t="str">
        <f t="shared" si="44"/>
        <v/>
      </c>
      <c r="L322" s="209" t="str">
        <f>IF(E322="","",IF(COUNTIFS(Table2[[#All],[De (Lote)]],'Input_APM (Zenith)'!F322)&gt;0,INDEX(Table2[[#All],[Para (Ticker Daniel)]],MATCH('Input_APM (Zenith)'!F322,Table2[[#All],[De (Lote)]],0)),'Input_APM (Zenith)'!F322))</f>
        <v/>
      </c>
      <c r="M322" s="209" t="str">
        <f t="shared" si="45"/>
        <v/>
      </c>
      <c r="N322" s="210" t="str">
        <f t="shared" si="46"/>
        <v/>
      </c>
      <c r="O322" s="210" t="str">
        <f t="shared" si="47"/>
        <v/>
      </c>
    </row>
    <row r="323" spans="11:15">
      <c r="K323" s="209" t="str">
        <f t="shared" si="44"/>
        <v/>
      </c>
      <c r="L323" s="209" t="str">
        <f>IF(E323="","",IF(COUNTIFS(Table2[[#All],[De (Lote)]],'Input_APM (Zenith)'!F323)&gt;0,INDEX(Table2[[#All],[Para (Ticker Daniel)]],MATCH('Input_APM (Zenith)'!F323,Table2[[#All],[De (Lote)]],0)),'Input_APM (Zenith)'!F323))</f>
        <v/>
      </c>
      <c r="M323" s="209" t="str">
        <f t="shared" si="45"/>
        <v/>
      </c>
      <c r="N323" s="210" t="str">
        <f t="shared" si="46"/>
        <v/>
      </c>
      <c r="O323" s="210" t="str">
        <f t="shared" si="47"/>
        <v/>
      </c>
    </row>
    <row r="324" spans="11:15">
      <c r="K324" s="209" t="str">
        <f t="shared" si="44"/>
        <v/>
      </c>
      <c r="L324" s="209" t="str">
        <f>IF(E324="","",IF(COUNTIFS(Table2[[#All],[De (Lote)]],'Input_APM (Zenith)'!F324)&gt;0,INDEX(Table2[[#All],[Para (Ticker Daniel)]],MATCH('Input_APM (Zenith)'!F324,Table2[[#All],[De (Lote)]],0)),'Input_APM (Zenith)'!F324))</f>
        <v/>
      </c>
      <c r="M324" s="209" t="str">
        <f t="shared" si="45"/>
        <v/>
      </c>
      <c r="N324" s="210" t="str">
        <f t="shared" si="46"/>
        <v/>
      </c>
      <c r="O324" s="210" t="str">
        <f t="shared" si="47"/>
        <v/>
      </c>
    </row>
    <row r="325" spans="11:15">
      <c r="K325" s="209" t="str">
        <f t="shared" si="44"/>
        <v/>
      </c>
      <c r="L325" s="209" t="str">
        <f>IF(E325="","",IF(COUNTIFS(Table2[[#All],[De (Lote)]],'Input_APM (Zenith)'!F325)&gt;0,INDEX(Table2[[#All],[Para (Ticker Daniel)]],MATCH('Input_APM (Zenith)'!F325,Table2[[#All],[De (Lote)]],0)),'Input_APM (Zenith)'!F325))</f>
        <v/>
      </c>
      <c r="M325" s="209" t="str">
        <f t="shared" si="45"/>
        <v/>
      </c>
      <c r="N325" s="210" t="str">
        <f t="shared" si="46"/>
        <v/>
      </c>
      <c r="O325" s="210" t="str">
        <f t="shared" si="47"/>
        <v/>
      </c>
    </row>
    <row r="326" spans="11:15">
      <c r="K326" s="209" t="str">
        <f t="shared" si="44"/>
        <v/>
      </c>
      <c r="L326" s="209" t="str">
        <f>IF(E326="","",IF(COUNTIFS(Table2[[#All],[De (Lote)]],'Input_APM (Zenith)'!F326)&gt;0,INDEX(Table2[[#All],[Para (Ticker Daniel)]],MATCH('Input_APM (Zenith)'!F326,Table2[[#All],[De (Lote)]],0)),'Input_APM (Zenith)'!F326))</f>
        <v/>
      </c>
      <c r="M326" s="209" t="str">
        <f t="shared" si="45"/>
        <v/>
      </c>
      <c r="N326" s="210" t="str">
        <f t="shared" si="46"/>
        <v/>
      </c>
      <c r="O326" s="210" t="str">
        <f t="shared" si="47"/>
        <v/>
      </c>
    </row>
    <row r="327" spans="11:15">
      <c r="K327" s="209" t="str">
        <f t="shared" si="44"/>
        <v/>
      </c>
      <c r="L327" s="209" t="str">
        <f>IF(E327="","",IF(COUNTIFS(Table2[[#All],[De (Lote)]],'Input_APM (Zenith)'!F327)&gt;0,INDEX(Table2[[#All],[Para (Ticker Daniel)]],MATCH('Input_APM (Zenith)'!F327,Table2[[#All],[De (Lote)]],0)),'Input_APM (Zenith)'!F327))</f>
        <v/>
      </c>
      <c r="M327" s="209" t="str">
        <f t="shared" si="45"/>
        <v/>
      </c>
      <c r="N327" s="210" t="str">
        <f t="shared" si="46"/>
        <v/>
      </c>
      <c r="O327" s="210" t="str">
        <f t="shared" si="47"/>
        <v/>
      </c>
    </row>
    <row r="328" spans="11:15">
      <c r="K328" s="209" t="str">
        <f t="shared" si="44"/>
        <v/>
      </c>
      <c r="L328" s="209" t="str">
        <f>IF(E328="","",IF(COUNTIFS(Table2[[#All],[De (Lote)]],'Input_APM (Zenith)'!F328)&gt;0,INDEX(Table2[[#All],[Para (Ticker Daniel)]],MATCH('Input_APM (Zenith)'!F328,Table2[[#All],[De (Lote)]],0)),'Input_APM (Zenith)'!F328))</f>
        <v/>
      </c>
      <c r="M328" s="209" t="str">
        <f t="shared" si="45"/>
        <v/>
      </c>
      <c r="N328" s="210" t="str">
        <f t="shared" si="46"/>
        <v/>
      </c>
      <c r="O328" s="210" t="str">
        <f t="shared" si="47"/>
        <v/>
      </c>
    </row>
    <row r="329" spans="11:15">
      <c r="K329" s="209" t="str">
        <f t="shared" si="44"/>
        <v/>
      </c>
      <c r="L329" s="209" t="str">
        <f>IF(E329="","",IF(COUNTIFS(Table2[[#All],[De (Lote)]],'Input_APM (Zenith)'!F329)&gt;0,INDEX(Table2[[#All],[Para (Ticker Daniel)]],MATCH('Input_APM (Zenith)'!F329,Table2[[#All],[De (Lote)]],0)),'Input_APM (Zenith)'!F329))</f>
        <v/>
      </c>
      <c r="M329" s="209" t="str">
        <f t="shared" si="45"/>
        <v/>
      </c>
      <c r="N329" s="210" t="str">
        <f t="shared" si="46"/>
        <v/>
      </c>
      <c r="O329" s="210" t="str">
        <f t="shared" si="47"/>
        <v/>
      </c>
    </row>
    <row r="330" spans="11:15">
      <c r="K330" s="209" t="str">
        <f t="shared" si="44"/>
        <v/>
      </c>
      <c r="L330" s="209" t="str">
        <f>IF(E330="","",IF(COUNTIFS(Table2[[#All],[De (Lote)]],'Input_APM (Zenith)'!F330)&gt;0,INDEX(Table2[[#All],[Para (Ticker Daniel)]],MATCH('Input_APM (Zenith)'!F330,Table2[[#All],[De (Lote)]],0)),'Input_APM (Zenith)'!F330))</f>
        <v/>
      </c>
      <c r="M330" s="209" t="str">
        <f t="shared" si="45"/>
        <v/>
      </c>
      <c r="N330" s="210" t="str">
        <f t="shared" si="46"/>
        <v/>
      </c>
      <c r="O330" s="210" t="str">
        <f t="shared" si="47"/>
        <v/>
      </c>
    </row>
    <row r="331" spans="11:15">
      <c r="K331" s="209" t="str">
        <f t="shared" si="44"/>
        <v/>
      </c>
      <c r="L331" s="209" t="str">
        <f>IF(E331="","",IF(COUNTIFS(Table2[[#All],[De (Lote)]],'Input_APM (Zenith)'!F331)&gt;0,INDEX(Table2[[#All],[Para (Ticker Daniel)]],MATCH('Input_APM (Zenith)'!F331,Table2[[#All],[De (Lote)]],0)),'Input_APM (Zenith)'!F331))</f>
        <v/>
      </c>
      <c r="M331" s="209" t="str">
        <f t="shared" si="45"/>
        <v/>
      </c>
      <c r="N331" s="210" t="str">
        <f t="shared" si="46"/>
        <v/>
      </c>
      <c r="O331" s="210" t="str">
        <f t="shared" si="47"/>
        <v/>
      </c>
    </row>
    <row r="332" spans="11:15">
      <c r="K332" s="209" t="str">
        <f t="shared" si="44"/>
        <v/>
      </c>
      <c r="L332" s="209" t="str">
        <f>IF(E332="","",IF(COUNTIFS(Table2[[#All],[De (Lote)]],'Input_APM (Zenith)'!F332)&gt;0,INDEX(Table2[[#All],[Para (Ticker Daniel)]],MATCH('Input_APM (Zenith)'!F332,Table2[[#All],[De (Lote)]],0)),'Input_APM (Zenith)'!F332))</f>
        <v/>
      </c>
      <c r="M332" s="209" t="str">
        <f t="shared" si="45"/>
        <v/>
      </c>
      <c r="N332" s="210" t="str">
        <f t="shared" si="46"/>
        <v/>
      </c>
      <c r="O332" s="210" t="str">
        <f t="shared" si="47"/>
        <v/>
      </c>
    </row>
    <row r="333" spans="11:15">
      <c r="K333" s="209" t="str">
        <f t="shared" si="44"/>
        <v/>
      </c>
      <c r="L333" s="209" t="str">
        <f>IF(E333="","",IF(COUNTIFS(Table2[[#All],[De (Lote)]],'Input_APM (Zenith)'!F333)&gt;0,INDEX(Table2[[#All],[Para (Ticker Daniel)]],MATCH('Input_APM (Zenith)'!F333,Table2[[#All],[De (Lote)]],0)),'Input_APM (Zenith)'!F333))</f>
        <v/>
      </c>
      <c r="M333" s="209" t="str">
        <f t="shared" si="45"/>
        <v/>
      </c>
      <c r="N333" s="210" t="str">
        <f t="shared" si="46"/>
        <v/>
      </c>
      <c r="O333" s="210" t="str">
        <f t="shared" si="47"/>
        <v/>
      </c>
    </row>
    <row r="334" spans="11:15">
      <c r="K334" s="209" t="str">
        <f t="shared" si="44"/>
        <v/>
      </c>
      <c r="L334" s="209" t="str">
        <f>IF(E334="","",IF(COUNTIFS(Table2[[#All],[De (Lote)]],'Input_APM (Zenith)'!F334)&gt;0,INDEX(Table2[[#All],[Para (Ticker Daniel)]],MATCH('Input_APM (Zenith)'!F334,Table2[[#All],[De (Lote)]],0)),'Input_APM (Zenith)'!F334))</f>
        <v/>
      </c>
      <c r="M334" s="209" t="str">
        <f t="shared" si="45"/>
        <v/>
      </c>
      <c r="N334" s="210" t="str">
        <f t="shared" si="46"/>
        <v/>
      </c>
      <c r="O334" s="210" t="str">
        <f t="shared" si="47"/>
        <v/>
      </c>
    </row>
    <row r="335" spans="11:15">
      <c r="K335" s="209" t="str">
        <f t="shared" si="44"/>
        <v/>
      </c>
      <c r="L335" s="209" t="str">
        <f>IF(E335="","",IF(COUNTIFS(Table2[[#All],[De (Lote)]],'Input_APM (Zenith)'!F335)&gt;0,INDEX(Table2[[#All],[Para (Ticker Daniel)]],MATCH('Input_APM (Zenith)'!F335,Table2[[#All],[De (Lote)]],0)),'Input_APM (Zenith)'!F335))</f>
        <v/>
      </c>
      <c r="M335" s="209" t="str">
        <f t="shared" si="45"/>
        <v/>
      </c>
      <c r="N335" s="210" t="str">
        <f t="shared" si="46"/>
        <v/>
      </c>
      <c r="O335" s="210" t="str">
        <f t="shared" si="47"/>
        <v/>
      </c>
    </row>
    <row r="336" spans="11:15">
      <c r="K336" s="209" t="str">
        <f t="shared" si="44"/>
        <v/>
      </c>
      <c r="L336" s="209" t="str">
        <f>IF(E336="","",IF(COUNTIFS(Table2[[#All],[De (Lote)]],'Input_APM (Zenith)'!F336)&gt;0,INDEX(Table2[[#All],[Para (Ticker Daniel)]],MATCH('Input_APM (Zenith)'!F336,Table2[[#All],[De (Lote)]],0)),'Input_APM (Zenith)'!F336))</f>
        <v/>
      </c>
      <c r="M336" s="209" t="str">
        <f t="shared" si="45"/>
        <v/>
      </c>
      <c r="N336" s="210" t="str">
        <f t="shared" si="46"/>
        <v/>
      </c>
      <c r="O336" s="210" t="str">
        <f t="shared" si="47"/>
        <v/>
      </c>
    </row>
    <row r="337" spans="11:15">
      <c r="K337" s="209" t="str">
        <f t="shared" si="44"/>
        <v/>
      </c>
      <c r="L337" s="209" t="str">
        <f>IF(E337="","",IF(COUNTIFS(Table2[[#All],[De (Lote)]],'Input_APM (Zenith)'!F337)&gt;0,INDEX(Table2[[#All],[Para (Ticker Daniel)]],MATCH('Input_APM (Zenith)'!F337,Table2[[#All],[De (Lote)]],0)),'Input_APM (Zenith)'!F337))</f>
        <v/>
      </c>
      <c r="M337" s="209" t="str">
        <f t="shared" si="45"/>
        <v/>
      </c>
      <c r="N337" s="210" t="str">
        <f t="shared" si="46"/>
        <v/>
      </c>
      <c r="O337" s="210" t="str">
        <f t="shared" si="47"/>
        <v/>
      </c>
    </row>
    <row r="338" spans="11:15">
      <c r="K338" s="209" t="str">
        <f t="shared" si="44"/>
        <v/>
      </c>
      <c r="L338" s="209" t="str">
        <f>IF(E338="","",IF(COUNTIFS(Table2[[#All],[De (Lote)]],'Input_APM (Zenith)'!F338)&gt;0,INDEX(Table2[[#All],[Para (Ticker Daniel)]],MATCH('Input_APM (Zenith)'!F338,Table2[[#All],[De (Lote)]],0)),'Input_APM (Zenith)'!F338))</f>
        <v/>
      </c>
      <c r="M338" s="209" t="str">
        <f t="shared" si="45"/>
        <v/>
      </c>
      <c r="N338" s="210" t="str">
        <f t="shared" si="46"/>
        <v/>
      </c>
      <c r="O338" s="210" t="str">
        <f t="shared" si="47"/>
        <v/>
      </c>
    </row>
    <row r="339" spans="11:15">
      <c r="K339" s="209" t="str">
        <f t="shared" si="44"/>
        <v/>
      </c>
      <c r="L339" s="209" t="str">
        <f>IF(E339="","",IF(COUNTIFS(Table2[[#All],[De (Lote)]],'Input_APM (Zenith)'!F339)&gt;0,INDEX(Table2[[#All],[Para (Ticker Daniel)]],MATCH('Input_APM (Zenith)'!F339,Table2[[#All],[De (Lote)]],0)),'Input_APM (Zenith)'!F339))</f>
        <v/>
      </c>
      <c r="M339" s="209" t="str">
        <f t="shared" si="45"/>
        <v/>
      </c>
      <c r="N339" s="210" t="str">
        <f t="shared" si="46"/>
        <v/>
      </c>
      <c r="O339" s="210" t="str">
        <f t="shared" si="47"/>
        <v/>
      </c>
    </row>
    <row r="340" spans="11:15">
      <c r="K340" s="209" t="str">
        <f t="shared" si="44"/>
        <v/>
      </c>
      <c r="L340" s="209" t="str">
        <f>IF(E340="","",IF(COUNTIFS(Table2[[#All],[De (Lote)]],'Input_APM (Zenith)'!F340)&gt;0,INDEX(Table2[[#All],[Para (Ticker Daniel)]],MATCH('Input_APM (Zenith)'!F340,Table2[[#All],[De (Lote)]],0)),'Input_APM (Zenith)'!F340))</f>
        <v/>
      </c>
      <c r="M340" s="209" t="str">
        <f t="shared" si="45"/>
        <v/>
      </c>
      <c r="N340" s="210" t="str">
        <f t="shared" si="46"/>
        <v/>
      </c>
      <c r="O340" s="210" t="str">
        <f t="shared" si="47"/>
        <v/>
      </c>
    </row>
    <row r="341" spans="11:15">
      <c r="K341" s="209" t="str">
        <f t="shared" si="44"/>
        <v/>
      </c>
      <c r="L341" s="209" t="str">
        <f>IF(E341="","",IF(COUNTIFS(Table2[[#All],[De (Lote)]],'Input_APM (Zenith)'!F341)&gt;0,INDEX(Table2[[#All],[Para (Ticker Daniel)]],MATCH('Input_APM (Zenith)'!F341,Table2[[#All],[De (Lote)]],0)),'Input_APM (Zenith)'!F341))</f>
        <v/>
      </c>
      <c r="M341" s="209" t="str">
        <f t="shared" si="45"/>
        <v/>
      </c>
      <c r="N341" s="210" t="str">
        <f t="shared" si="46"/>
        <v/>
      </c>
      <c r="O341" s="210" t="str">
        <f t="shared" si="47"/>
        <v/>
      </c>
    </row>
    <row r="342" spans="11:15">
      <c r="K342" s="209" t="str">
        <f t="shared" si="44"/>
        <v/>
      </c>
      <c r="L342" s="209" t="str">
        <f>IF(E342="","",IF(COUNTIFS(Table2[[#All],[De (Lote)]],'Input_APM (Zenith)'!F342)&gt;0,INDEX(Table2[[#All],[Para (Ticker Daniel)]],MATCH('Input_APM (Zenith)'!F342,Table2[[#All],[De (Lote)]],0)),'Input_APM (Zenith)'!F342))</f>
        <v/>
      </c>
      <c r="M342" s="209" t="str">
        <f t="shared" si="45"/>
        <v/>
      </c>
      <c r="N342" s="210" t="str">
        <f t="shared" si="46"/>
        <v/>
      </c>
      <c r="O342" s="210" t="str">
        <f t="shared" si="47"/>
        <v/>
      </c>
    </row>
    <row r="343" spans="11:15">
      <c r="K343" s="209" t="str">
        <f t="shared" si="44"/>
        <v/>
      </c>
      <c r="L343" s="209" t="str">
        <f>IF(E343="","",IF(COUNTIFS(Table2[[#All],[De (Lote)]],'Input_APM (Zenith)'!F343)&gt;0,INDEX(Table2[[#All],[Para (Ticker Daniel)]],MATCH('Input_APM (Zenith)'!F343,Table2[[#All],[De (Lote)]],0)),'Input_APM (Zenith)'!F343))</f>
        <v/>
      </c>
      <c r="M343" s="209" t="str">
        <f t="shared" si="45"/>
        <v/>
      </c>
      <c r="N343" s="210" t="str">
        <f t="shared" si="46"/>
        <v/>
      </c>
      <c r="O343" s="210" t="str">
        <f t="shared" si="47"/>
        <v/>
      </c>
    </row>
    <row r="344" spans="11:15">
      <c r="K344" s="209" t="str">
        <f t="shared" si="44"/>
        <v/>
      </c>
      <c r="L344" s="209" t="str">
        <f>IF(E344="","",IF(COUNTIFS(Table2[[#All],[De (Lote)]],'Input_APM (Zenith)'!F344)&gt;0,INDEX(Table2[[#All],[Para (Ticker Daniel)]],MATCH('Input_APM (Zenith)'!F344,Table2[[#All],[De (Lote)]],0)),'Input_APM (Zenith)'!F344))</f>
        <v/>
      </c>
      <c r="M344" s="209" t="str">
        <f t="shared" si="45"/>
        <v/>
      </c>
      <c r="N344" s="210" t="str">
        <f t="shared" si="46"/>
        <v/>
      </c>
      <c r="O344" s="210" t="str">
        <f t="shared" si="47"/>
        <v/>
      </c>
    </row>
    <row r="345" spans="11:15">
      <c r="K345" s="209" t="str">
        <f t="shared" si="44"/>
        <v/>
      </c>
      <c r="L345" s="209" t="str">
        <f>IF(E345="","",IF(COUNTIFS(Table2[[#All],[De (Lote)]],'Input_APM (Zenith)'!F345)&gt;0,INDEX(Table2[[#All],[Para (Ticker Daniel)]],MATCH('Input_APM (Zenith)'!F345,Table2[[#All],[De (Lote)]],0)),'Input_APM (Zenith)'!F345))</f>
        <v/>
      </c>
      <c r="M345" s="209" t="str">
        <f t="shared" si="45"/>
        <v/>
      </c>
      <c r="N345" s="210" t="str">
        <f t="shared" si="46"/>
        <v/>
      </c>
      <c r="O345" s="210" t="str">
        <f t="shared" si="47"/>
        <v/>
      </c>
    </row>
    <row r="346" spans="11:15">
      <c r="K346" s="209" t="str">
        <f t="shared" si="44"/>
        <v/>
      </c>
      <c r="L346" s="209" t="str">
        <f>IF(E346="","",IF(COUNTIFS(Table2[[#All],[De (Lote)]],'Input_APM (Zenith)'!F346)&gt;0,INDEX(Table2[[#All],[Para (Ticker Daniel)]],MATCH('Input_APM (Zenith)'!F346,Table2[[#All],[De (Lote)]],0)),'Input_APM (Zenith)'!F346))</f>
        <v/>
      </c>
      <c r="M346" s="209" t="str">
        <f t="shared" si="45"/>
        <v/>
      </c>
      <c r="N346" s="210" t="str">
        <f t="shared" si="46"/>
        <v/>
      </c>
      <c r="O346" s="210" t="str">
        <f t="shared" si="47"/>
        <v/>
      </c>
    </row>
    <row r="347" spans="11:15">
      <c r="K347" s="209" t="str">
        <f t="shared" si="44"/>
        <v/>
      </c>
      <c r="L347" s="209" t="str">
        <f>IF(E347="","",IF(COUNTIFS(Table2[[#All],[De (Lote)]],'Input_APM (Zenith)'!F347)&gt;0,INDEX(Table2[[#All],[Para (Ticker Daniel)]],MATCH('Input_APM (Zenith)'!F347,Table2[[#All],[De (Lote)]],0)),'Input_APM (Zenith)'!F347))</f>
        <v/>
      </c>
      <c r="M347" s="209" t="str">
        <f t="shared" si="45"/>
        <v/>
      </c>
      <c r="N347" s="210" t="str">
        <f t="shared" si="46"/>
        <v/>
      </c>
      <c r="O347" s="210" t="str">
        <f t="shared" si="47"/>
        <v/>
      </c>
    </row>
    <row r="348" spans="11:15">
      <c r="K348" s="209" t="str">
        <f t="shared" si="44"/>
        <v/>
      </c>
      <c r="L348" s="209" t="str">
        <f>IF(E348="","",IF(COUNTIFS(Table2[[#All],[De (Lote)]],'Input_APM (Zenith)'!F348)&gt;0,INDEX(Table2[[#All],[Para (Ticker Daniel)]],MATCH('Input_APM (Zenith)'!F348,Table2[[#All],[De (Lote)]],0)),'Input_APM (Zenith)'!F348))</f>
        <v/>
      </c>
      <c r="M348" s="209" t="str">
        <f t="shared" si="45"/>
        <v/>
      </c>
      <c r="N348" s="210" t="str">
        <f t="shared" si="46"/>
        <v/>
      </c>
      <c r="O348" s="210" t="str">
        <f t="shared" si="47"/>
        <v/>
      </c>
    </row>
    <row r="349" spans="11:15">
      <c r="K349" s="209" t="str">
        <f t="shared" si="44"/>
        <v/>
      </c>
      <c r="L349" s="209" t="str">
        <f>IF(E349="","",IF(COUNTIFS(Table2[[#All],[De (Lote)]],'Input_APM (Zenith)'!F349)&gt;0,INDEX(Table2[[#All],[Para (Ticker Daniel)]],MATCH('Input_APM (Zenith)'!F349,Table2[[#All],[De (Lote)]],0)),'Input_APM (Zenith)'!F349))</f>
        <v/>
      </c>
      <c r="M349" s="209" t="str">
        <f t="shared" si="45"/>
        <v/>
      </c>
      <c r="N349" s="210" t="str">
        <f t="shared" si="46"/>
        <v/>
      </c>
      <c r="O349" s="210" t="str">
        <f t="shared" si="47"/>
        <v/>
      </c>
    </row>
    <row r="350" spans="11:15">
      <c r="K350" s="209" t="str">
        <f t="shared" si="44"/>
        <v/>
      </c>
      <c r="L350" s="209" t="str">
        <f>IF(E350="","",IF(COUNTIFS(Table2[[#All],[De (Lote)]],'Input_APM (Zenith)'!F350)&gt;0,INDEX(Table2[[#All],[Para (Ticker Daniel)]],MATCH('Input_APM (Zenith)'!F350,Table2[[#All],[De (Lote)]],0)),'Input_APM (Zenith)'!F350))</f>
        <v/>
      </c>
      <c r="M350" s="209" t="str">
        <f t="shared" si="45"/>
        <v/>
      </c>
      <c r="N350" s="210" t="str">
        <f t="shared" si="46"/>
        <v/>
      </c>
      <c r="O350" s="210" t="str">
        <f t="shared" si="47"/>
        <v/>
      </c>
    </row>
    <row r="351" spans="11:15">
      <c r="K351" s="209" t="str">
        <f t="shared" si="44"/>
        <v/>
      </c>
      <c r="L351" s="209" t="str">
        <f>IF(E351="","",IF(COUNTIFS(Table2[[#All],[De (Lote)]],'Input_APM (Zenith)'!F351)&gt;0,INDEX(Table2[[#All],[Para (Ticker Daniel)]],MATCH('Input_APM (Zenith)'!F351,Table2[[#All],[De (Lote)]],0)),'Input_APM (Zenith)'!F351))</f>
        <v/>
      </c>
      <c r="M351" s="209" t="str">
        <f t="shared" si="45"/>
        <v/>
      </c>
      <c r="N351" s="210" t="str">
        <f t="shared" si="46"/>
        <v/>
      </c>
      <c r="O351" s="210" t="str">
        <f t="shared" si="47"/>
        <v/>
      </c>
    </row>
    <row r="352" spans="11:15">
      <c r="K352" s="209" t="str">
        <f t="shared" si="44"/>
        <v/>
      </c>
      <c r="L352" s="209" t="str">
        <f>IF(E352="","",IF(COUNTIFS(Table2[[#All],[De (Lote)]],'Input_APM (Zenith)'!F352)&gt;0,INDEX(Table2[[#All],[Para (Ticker Daniel)]],MATCH('Input_APM (Zenith)'!F352,Table2[[#All],[De (Lote)]],0)),'Input_APM (Zenith)'!F352))</f>
        <v/>
      </c>
      <c r="M352" s="209" t="str">
        <f t="shared" si="45"/>
        <v/>
      </c>
      <c r="N352" s="210" t="str">
        <f t="shared" si="46"/>
        <v/>
      </c>
      <c r="O352" s="210" t="str">
        <f t="shared" si="47"/>
        <v/>
      </c>
    </row>
    <row r="353" spans="8:15">
      <c r="K353" s="209" t="str">
        <f t="shared" si="44"/>
        <v/>
      </c>
      <c r="L353" s="209" t="str">
        <f>IF(E353="","",IF(COUNTIFS(Table2[[#All],[De (Lote)]],'Input_APM (Zenith)'!F353)&gt;0,INDEX(Table2[[#All],[Para (Ticker Daniel)]],MATCH('Input_APM (Zenith)'!F353,Table2[[#All],[De (Lote)]],0)),'Input_APM (Zenith)'!F353))</f>
        <v/>
      </c>
      <c r="M353" s="209" t="str">
        <f t="shared" si="45"/>
        <v/>
      </c>
      <c r="N353" s="210" t="str">
        <f t="shared" si="46"/>
        <v/>
      </c>
      <c r="O353" s="210" t="str">
        <f t="shared" si="47"/>
        <v/>
      </c>
    </row>
    <row r="354" spans="8:15">
      <c r="K354" s="209" t="str">
        <f t="shared" si="44"/>
        <v/>
      </c>
      <c r="L354" s="209" t="str">
        <f>IF(E354="","",IF(COUNTIFS(Table2[[#All],[De (Lote)]],'Input_APM (Zenith)'!F354)&gt;0,INDEX(Table2[[#All],[Para (Ticker Daniel)]],MATCH('Input_APM (Zenith)'!F354,Table2[[#All],[De (Lote)]],0)),'Input_APM (Zenith)'!F354))</f>
        <v/>
      </c>
      <c r="M354" s="209" t="str">
        <f t="shared" si="45"/>
        <v/>
      </c>
      <c r="N354" s="210" t="str">
        <f t="shared" si="46"/>
        <v/>
      </c>
      <c r="O354" s="210" t="str">
        <f t="shared" si="47"/>
        <v/>
      </c>
    </row>
    <row r="355" spans="8:15">
      <c r="K355" s="209" t="str">
        <f t="shared" si="44"/>
        <v/>
      </c>
      <c r="L355" s="209" t="str">
        <f>IF(E355="","",IF(COUNTIFS(Table2[[#All],[De (Lote)]],'Input_APM (Zenith)'!F355)&gt;0,INDEX(Table2[[#All],[Para (Ticker Daniel)]],MATCH('Input_APM (Zenith)'!F355,Table2[[#All],[De (Lote)]],0)),'Input_APM (Zenith)'!F355))</f>
        <v/>
      </c>
      <c r="M355" s="209" t="str">
        <f t="shared" si="45"/>
        <v/>
      </c>
      <c r="N355" s="210" t="str">
        <f t="shared" si="46"/>
        <v/>
      </c>
      <c r="O355" s="210" t="str">
        <f t="shared" si="47"/>
        <v/>
      </c>
    </row>
    <row r="356" spans="8:15">
      <c r="K356" s="209" t="str">
        <f t="shared" si="44"/>
        <v/>
      </c>
      <c r="L356" s="209" t="str">
        <f>IF(E356="","",IF(COUNTIFS(Table2[[#All],[De (Lote)]],'Input_APM (Zenith)'!F356)&gt;0,INDEX(Table2[[#All],[Para (Ticker Daniel)]],MATCH('Input_APM (Zenith)'!F356,Table2[[#All],[De (Lote)]],0)),'Input_APM (Zenith)'!F356))</f>
        <v/>
      </c>
      <c r="M356" s="209" t="str">
        <f t="shared" si="45"/>
        <v/>
      </c>
      <c r="N356" s="210" t="str">
        <f t="shared" si="46"/>
        <v/>
      </c>
      <c r="O356" s="210" t="str">
        <f t="shared" si="47"/>
        <v/>
      </c>
    </row>
    <row r="357" spans="8:15">
      <c r="K357" s="209" t="str">
        <f t="shared" si="44"/>
        <v/>
      </c>
      <c r="L357" s="209" t="str">
        <f>IF(E357="","",IF(COUNTIFS(Table2[[#All],[De (Lote)]],'Input_APM (Zenith)'!F357)&gt;0,INDEX(Table2[[#All],[Para (Ticker Daniel)]],MATCH('Input_APM (Zenith)'!F357,Table2[[#All],[De (Lote)]],0)),'Input_APM (Zenith)'!F357))</f>
        <v/>
      </c>
      <c r="M357" s="209" t="str">
        <f t="shared" si="45"/>
        <v/>
      </c>
      <c r="N357" s="210" t="str">
        <f t="shared" si="46"/>
        <v/>
      </c>
      <c r="O357" s="210" t="str">
        <f t="shared" si="47"/>
        <v/>
      </c>
    </row>
    <row r="358" spans="8:15">
      <c r="K358" s="209" t="str">
        <f t="shared" ref="K358:K421" si="48">IF(E358="","",E358)</f>
        <v/>
      </c>
      <c r="L358" s="209" t="str">
        <f>IF(E358="","",IF(COUNTIFS(Table2[[#All],[De (Lote)]],'Input_APM (Zenith)'!F358)&gt;0,INDEX(Table2[[#All],[Para (Ticker Daniel)]],MATCH('Input_APM (Zenith)'!F358,Table2[[#All],[De (Lote)]],0)),'Input_APM (Zenith)'!F358))</f>
        <v/>
      </c>
      <c r="M358" s="209" t="str">
        <f t="shared" ref="M358:M421" si="49">IF(E358="","",G358)</f>
        <v/>
      </c>
      <c r="N358" s="210" t="str">
        <f t="shared" ref="N358:N421" si="50">IF(E358="","",H358)</f>
        <v/>
      </c>
      <c r="O358" s="210" t="str">
        <f t="shared" ref="O358:O421" si="51">IF(E358="","",I358)</f>
        <v/>
      </c>
    </row>
    <row r="359" spans="8:15">
      <c r="K359" s="209" t="str">
        <f t="shared" si="48"/>
        <v/>
      </c>
      <c r="L359" s="209" t="str">
        <f>IF(E359="","",IF(COUNTIFS(Table2[[#All],[De (Lote)]],'Input_APM (Zenith)'!F359)&gt;0,INDEX(Table2[[#All],[Para (Ticker Daniel)]],MATCH('Input_APM (Zenith)'!F359,Table2[[#All],[De (Lote)]],0)),'Input_APM (Zenith)'!F359))</f>
        <v/>
      </c>
      <c r="M359" s="209" t="str">
        <f t="shared" si="49"/>
        <v/>
      </c>
      <c r="N359" s="210" t="str">
        <f t="shared" si="50"/>
        <v/>
      </c>
      <c r="O359" s="210" t="str">
        <f t="shared" si="51"/>
        <v/>
      </c>
    </row>
    <row r="360" spans="8:15">
      <c r="K360" s="209" t="str">
        <f t="shared" si="48"/>
        <v/>
      </c>
      <c r="L360" s="209" t="str">
        <f>IF(E360="","",IF(COUNTIFS(Table2[[#All],[De (Lote)]],'Input_APM (Zenith)'!F360)&gt;0,INDEX(Table2[[#All],[Para (Ticker Daniel)]],MATCH('Input_APM (Zenith)'!F360,Table2[[#All],[De (Lote)]],0)),'Input_APM (Zenith)'!F360))</f>
        <v/>
      </c>
      <c r="M360" s="209" t="str">
        <f t="shared" si="49"/>
        <v/>
      </c>
      <c r="N360" s="210" t="str">
        <f t="shared" si="50"/>
        <v/>
      </c>
      <c r="O360" s="210" t="str">
        <f t="shared" si="51"/>
        <v/>
      </c>
    </row>
    <row r="361" spans="8:15">
      <c r="K361" s="209" t="str">
        <f t="shared" si="48"/>
        <v/>
      </c>
      <c r="L361" s="209" t="str">
        <f>IF(E361="","",IF(COUNTIFS(Table2[[#All],[De (Lote)]],'Input_APM (Zenith)'!F361)&gt;0,INDEX(Table2[[#All],[Para (Ticker Daniel)]],MATCH('Input_APM (Zenith)'!F361,Table2[[#All],[De (Lote)]],0)),'Input_APM (Zenith)'!F361))</f>
        <v/>
      </c>
      <c r="M361" s="209" t="str">
        <f t="shared" si="49"/>
        <v/>
      </c>
      <c r="N361" s="210" t="str">
        <f t="shared" si="50"/>
        <v/>
      </c>
      <c r="O361" s="210" t="str">
        <f t="shared" si="51"/>
        <v/>
      </c>
    </row>
    <row r="362" spans="8:15">
      <c r="K362" s="209" t="str">
        <f t="shared" si="48"/>
        <v/>
      </c>
      <c r="L362" s="209" t="str">
        <f>IF(E362="","",IF(COUNTIFS(Table2[[#All],[De (Lote)]],'Input_APM (Zenith)'!F362)&gt;0,INDEX(Table2[[#All],[Para (Ticker Daniel)]],MATCH('Input_APM (Zenith)'!F362,Table2[[#All],[De (Lote)]],0)),'Input_APM (Zenith)'!F362))</f>
        <v/>
      </c>
      <c r="M362" s="209" t="str">
        <f t="shared" si="49"/>
        <v/>
      </c>
      <c r="N362" s="210" t="str">
        <f t="shared" si="50"/>
        <v/>
      </c>
      <c r="O362" s="210" t="str">
        <f t="shared" si="51"/>
        <v/>
      </c>
    </row>
    <row r="363" spans="8:15">
      <c r="K363" s="209" t="str">
        <f t="shared" si="48"/>
        <v/>
      </c>
      <c r="L363" s="209" t="str">
        <f>IF(E363="","",IF(COUNTIFS(Table2[[#All],[De (Lote)]],'Input_APM (Zenith)'!F363)&gt;0,INDEX(Table2[[#All],[Para (Ticker Daniel)]],MATCH('Input_APM (Zenith)'!F363,Table2[[#All],[De (Lote)]],0)),'Input_APM (Zenith)'!F363))</f>
        <v/>
      </c>
      <c r="M363" s="209" t="str">
        <f t="shared" si="49"/>
        <v/>
      </c>
      <c r="N363" s="210" t="str">
        <f t="shared" si="50"/>
        <v/>
      </c>
      <c r="O363" s="210" t="str">
        <f t="shared" si="51"/>
        <v/>
      </c>
    </row>
    <row r="364" spans="8:15">
      <c r="K364" s="209" t="str">
        <f t="shared" si="48"/>
        <v/>
      </c>
      <c r="L364" s="209" t="str">
        <f>IF(E364="","",IF(COUNTIFS(Table2[[#All],[De (Lote)]],'Input_APM (Zenith)'!F364)&gt;0,INDEX(Table2[[#All],[Para (Ticker Daniel)]],MATCH('Input_APM (Zenith)'!F364,Table2[[#All],[De (Lote)]],0)),'Input_APM (Zenith)'!F364))</f>
        <v/>
      </c>
      <c r="M364" s="209" t="str">
        <f t="shared" si="49"/>
        <v/>
      </c>
      <c r="N364" s="210" t="str">
        <f t="shared" si="50"/>
        <v/>
      </c>
      <c r="O364" s="210" t="str">
        <f t="shared" si="51"/>
        <v/>
      </c>
    </row>
    <row r="365" spans="8:15">
      <c r="K365" s="209" t="str">
        <f t="shared" si="48"/>
        <v/>
      </c>
      <c r="L365" s="209" t="str">
        <f>IF(E365="","",IF(COUNTIFS(Table2[[#All],[De (Lote)]],'Input_APM (Zenith)'!F365)&gt;0,INDEX(Table2[[#All],[Para (Ticker Daniel)]],MATCH('Input_APM (Zenith)'!F365,Table2[[#All],[De (Lote)]],0)),'Input_APM (Zenith)'!F365))</f>
        <v/>
      </c>
      <c r="M365" s="209" t="str">
        <f t="shared" si="49"/>
        <v/>
      </c>
      <c r="N365" s="210" t="str">
        <f t="shared" si="50"/>
        <v/>
      </c>
      <c r="O365" s="210" t="str">
        <f t="shared" si="51"/>
        <v/>
      </c>
    </row>
    <row r="366" spans="8:15">
      <c r="K366" s="209" t="str">
        <f t="shared" si="48"/>
        <v/>
      </c>
      <c r="L366" s="209" t="str">
        <f>IF(E366="","",IF(COUNTIFS(Table2[[#All],[De (Lote)]],'Input_APM (Zenith)'!F366)&gt;0,INDEX(Table2[[#All],[Para (Ticker Daniel)]],MATCH('Input_APM (Zenith)'!F366,Table2[[#All],[De (Lote)]],0)),'Input_APM (Zenith)'!F366))</f>
        <v/>
      </c>
      <c r="M366" s="209" t="str">
        <f t="shared" si="49"/>
        <v/>
      </c>
      <c r="N366" s="210" t="str">
        <f t="shared" si="50"/>
        <v/>
      </c>
      <c r="O366" s="210" t="str">
        <f t="shared" si="51"/>
        <v/>
      </c>
    </row>
    <row r="367" spans="8:15">
      <c r="H367" s="220"/>
      <c r="K367" s="209" t="str">
        <f t="shared" si="48"/>
        <v/>
      </c>
      <c r="L367" s="209" t="str">
        <f>IF(E367="","",IF(COUNTIFS(Table2[[#All],[De (Lote)]],'Input_APM (Zenith)'!F367)&gt;0,INDEX(Table2[[#All],[Para (Ticker Daniel)]],MATCH('Input_APM (Zenith)'!F367,Table2[[#All],[De (Lote)]],0)),'Input_APM (Zenith)'!F367))</f>
        <v/>
      </c>
      <c r="M367" s="209" t="str">
        <f t="shared" si="49"/>
        <v/>
      </c>
      <c r="N367" s="210" t="str">
        <f t="shared" si="50"/>
        <v/>
      </c>
      <c r="O367" s="210" t="str">
        <f t="shared" si="51"/>
        <v/>
      </c>
    </row>
    <row r="368" spans="8:15">
      <c r="H368" s="220"/>
      <c r="K368" s="209" t="str">
        <f t="shared" si="48"/>
        <v/>
      </c>
      <c r="L368" s="209" t="str">
        <f>IF(E368="","",IF(COUNTIFS(Table2[[#All],[De (Lote)]],'Input_APM (Zenith)'!F368)&gt;0,INDEX(Table2[[#All],[Para (Ticker Daniel)]],MATCH('Input_APM (Zenith)'!F368,Table2[[#All],[De (Lote)]],0)),'Input_APM (Zenith)'!F368))</f>
        <v/>
      </c>
      <c r="M368" s="209" t="str">
        <f t="shared" si="49"/>
        <v/>
      </c>
      <c r="N368" s="210" t="str">
        <f t="shared" si="50"/>
        <v/>
      </c>
      <c r="O368" s="210" t="str">
        <f t="shared" si="51"/>
        <v/>
      </c>
    </row>
    <row r="369" spans="11:15">
      <c r="K369" s="209" t="str">
        <f t="shared" si="48"/>
        <v/>
      </c>
      <c r="L369" s="209" t="str">
        <f>IF(E369="","",IF(COUNTIFS(Table2[[#All],[De (Lote)]],'Input_APM (Zenith)'!F369)&gt;0,INDEX(Table2[[#All],[Para (Ticker Daniel)]],MATCH('Input_APM (Zenith)'!F369,Table2[[#All],[De (Lote)]],0)),'Input_APM (Zenith)'!F369))</f>
        <v/>
      </c>
      <c r="M369" s="209" t="str">
        <f t="shared" si="49"/>
        <v/>
      </c>
      <c r="N369" s="210" t="str">
        <f t="shared" si="50"/>
        <v/>
      </c>
      <c r="O369" s="210" t="str">
        <f t="shared" si="51"/>
        <v/>
      </c>
    </row>
    <row r="370" spans="11:15">
      <c r="K370" s="209" t="str">
        <f t="shared" si="48"/>
        <v/>
      </c>
      <c r="L370" s="209" t="str">
        <f>IF(E370="","",IF(COUNTIFS(Table2[[#All],[De (Lote)]],'Input_APM (Zenith)'!F370)&gt;0,INDEX(Table2[[#All],[Para (Ticker Daniel)]],MATCH('Input_APM (Zenith)'!F370,Table2[[#All],[De (Lote)]],0)),'Input_APM (Zenith)'!F370))</f>
        <v/>
      </c>
      <c r="M370" s="209" t="str">
        <f t="shared" si="49"/>
        <v/>
      </c>
      <c r="N370" s="210" t="str">
        <f t="shared" si="50"/>
        <v/>
      </c>
      <c r="O370" s="210" t="str">
        <f t="shared" si="51"/>
        <v/>
      </c>
    </row>
    <row r="371" spans="11:15">
      <c r="K371" s="209" t="str">
        <f t="shared" si="48"/>
        <v/>
      </c>
      <c r="L371" s="209" t="str">
        <f>IF(E371="","",IF(COUNTIFS(Table2[[#All],[De (Lote)]],'Input_APM (Zenith)'!F371)&gt;0,INDEX(Table2[[#All],[Para (Ticker Daniel)]],MATCH('Input_APM (Zenith)'!F371,Table2[[#All],[De (Lote)]],0)),'Input_APM (Zenith)'!F371))</f>
        <v/>
      </c>
      <c r="M371" s="209" t="str">
        <f t="shared" si="49"/>
        <v/>
      </c>
      <c r="N371" s="210" t="str">
        <f t="shared" si="50"/>
        <v/>
      </c>
      <c r="O371" s="210" t="str">
        <f t="shared" si="51"/>
        <v/>
      </c>
    </row>
    <row r="372" spans="11:15">
      <c r="K372" s="209" t="str">
        <f t="shared" si="48"/>
        <v/>
      </c>
      <c r="L372" s="209" t="str">
        <f>IF(E372="","",IF(COUNTIFS(Table2[[#All],[De (Lote)]],'Input_APM (Zenith)'!F372)&gt;0,INDEX(Table2[[#All],[Para (Ticker Daniel)]],MATCH('Input_APM (Zenith)'!F372,Table2[[#All],[De (Lote)]],0)),'Input_APM (Zenith)'!F372))</f>
        <v/>
      </c>
      <c r="M372" s="209" t="str">
        <f t="shared" si="49"/>
        <v/>
      </c>
      <c r="N372" s="210" t="str">
        <f t="shared" si="50"/>
        <v/>
      </c>
      <c r="O372" s="210" t="str">
        <f t="shared" si="51"/>
        <v/>
      </c>
    </row>
    <row r="373" spans="11:15">
      <c r="K373" s="209" t="str">
        <f t="shared" si="48"/>
        <v/>
      </c>
      <c r="L373" s="209" t="str">
        <f>IF(E373="","",IF(COUNTIFS(Table2[[#All],[De (Lote)]],'Input_APM (Zenith)'!F373)&gt;0,INDEX(Table2[[#All],[Para (Ticker Daniel)]],MATCH('Input_APM (Zenith)'!F373,Table2[[#All],[De (Lote)]],0)),'Input_APM (Zenith)'!F373))</f>
        <v/>
      </c>
      <c r="M373" s="209" t="str">
        <f t="shared" si="49"/>
        <v/>
      </c>
      <c r="N373" s="210" t="str">
        <f t="shared" si="50"/>
        <v/>
      </c>
      <c r="O373" s="210" t="str">
        <f t="shared" si="51"/>
        <v/>
      </c>
    </row>
    <row r="374" spans="11:15">
      <c r="K374" s="209" t="str">
        <f t="shared" si="48"/>
        <v/>
      </c>
      <c r="L374" s="209" t="str">
        <f>IF(E374="","",IF(COUNTIFS(Table2[[#All],[De (Lote)]],'Input_APM (Zenith)'!F374)&gt;0,INDEX(Table2[[#All],[Para (Ticker Daniel)]],MATCH('Input_APM (Zenith)'!F374,Table2[[#All],[De (Lote)]],0)),'Input_APM (Zenith)'!F374))</f>
        <v/>
      </c>
      <c r="M374" s="209" t="str">
        <f t="shared" si="49"/>
        <v/>
      </c>
      <c r="N374" s="210" t="str">
        <f t="shared" si="50"/>
        <v/>
      </c>
      <c r="O374" s="210" t="str">
        <f t="shared" si="51"/>
        <v/>
      </c>
    </row>
    <row r="375" spans="11:15">
      <c r="K375" s="209" t="str">
        <f t="shared" si="48"/>
        <v/>
      </c>
      <c r="L375" s="209" t="str">
        <f>IF(E375="","",IF(COUNTIFS(Table2[[#All],[De (Lote)]],'Input_APM (Zenith)'!F375)&gt;0,INDEX(Table2[[#All],[Para (Ticker Daniel)]],MATCH('Input_APM (Zenith)'!F375,Table2[[#All],[De (Lote)]],0)),'Input_APM (Zenith)'!F375))</f>
        <v/>
      </c>
      <c r="M375" s="209" t="str">
        <f t="shared" si="49"/>
        <v/>
      </c>
      <c r="N375" s="210" t="str">
        <f t="shared" si="50"/>
        <v/>
      </c>
      <c r="O375" s="210" t="str">
        <f t="shared" si="51"/>
        <v/>
      </c>
    </row>
    <row r="376" spans="11:15">
      <c r="K376" s="209" t="str">
        <f t="shared" si="48"/>
        <v/>
      </c>
      <c r="L376" s="209" t="str">
        <f>IF(E376="","",IF(COUNTIFS(Table2[[#All],[De (Lote)]],'Input_APM (Zenith)'!F376)&gt;0,INDEX(Table2[[#All],[Para (Ticker Daniel)]],MATCH('Input_APM (Zenith)'!F376,Table2[[#All],[De (Lote)]],0)),'Input_APM (Zenith)'!F376))</f>
        <v/>
      </c>
      <c r="M376" s="209" t="str">
        <f t="shared" si="49"/>
        <v/>
      </c>
      <c r="N376" s="210" t="str">
        <f t="shared" si="50"/>
        <v/>
      </c>
      <c r="O376" s="210" t="str">
        <f t="shared" si="51"/>
        <v/>
      </c>
    </row>
    <row r="377" spans="11:15">
      <c r="K377" s="209" t="str">
        <f t="shared" si="48"/>
        <v/>
      </c>
      <c r="L377" s="209" t="str">
        <f>IF(E377="","",IF(COUNTIFS(Table2[[#All],[De (Lote)]],'Input_APM (Zenith)'!F377)&gt;0,INDEX(Table2[[#All],[Para (Ticker Daniel)]],MATCH('Input_APM (Zenith)'!F377,Table2[[#All],[De (Lote)]],0)),'Input_APM (Zenith)'!F377))</f>
        <v/>
      </c>
      <c r="M377" s="209" t="str">
        <f t="shared" si="49"/>
        <v/>
      </c>
      <c r="N377" s="210" t="str">
        <f t="shared" si="50"/>
        <v/>
      </c>
      <c r="O377" s="210" t="str">
        <f t="shared" si="51"/>
        <v/>
      </c>
    </row>
    <row r="378" spans="11:15">
      <c r="K378" s="209" t="str">
        <f t="shared" si="48"/>
        <v/>
      </c>
      <c r="L378" s="209" t="str">
        <f>IF(E378="","",IF(COUNTIFS(Table2[[#All],[De (Lote)]],'Input_APM (Zenith)'!F378)&gt;0,INDEX(Table2[[#All],[Para (Ticker Daniel)]],MATCH('Input_APM (Zenith)'!F378,Table2[[#All],[De (Lote)]],0)),'Input_APM (Zenith)'!F378))</f>
        <v/>
      </c>
      <c r="M378" s="209" t="str">
        <f t="shared" si="49"/>
        <v/>
      </c>
      <c r="N378" s="210" t="str">
        <f t="shared" si="50"/>
        <v/>
      </c>
      <c r="O378" s="210" t="str">
        <f t="shared" si="51"/>
        <v/>
      </c>
    </row>
    <row r="379" spans="11:15">
      <c r="K379" s="209" t="str">
        <f t="shared" si="48"/>
        <v/>
      </c>
      <c r="L379" s="209" t="str">
        <f>IF(E379="","",IF(COUNTIFS(Table2[[#All],[De (Lote)]],'Input_APM (Zenith)'!F379)&gt;0,INDEX(Table2[[#All],[Para (Ticker Daniel)]],MATCH('Input_APM (Zenith)'!F379,Table2[[#All],[De (Lote)]],0)),'Input_APM (Zenith)'!F379))</f>
        <v/>
      </c>
      <c r="M379" s="209" t="str">
        <f t="shared" si="49"/>
        <v/>
      </c>
      <c r="N379" s="210" t="str">
        <f t="shared" si="50"/>
        <v/>
      </c>
      <c r="O379" s="210" t="str">
        <f t="shared" si="51"/>
        <v/>
      </c>
    </row>
    <row r="380" spans="11:15">
      <c r="K380" s="209" t="str">
        <f t="shared" si="48"/>
        <v/>
      </c>
      <c r="L380" s="209" t="str">
        <f>IF(E380="","",IF(COUNTIFS(Table2[[#All],[De (Lote)]],'Input_APM (Zenith)'!F380)&gt;0,INDEX(Table2[[#All],[Para (Ticker Daniel)]],MATCH('Input_APM (Zenith)'!F380,Table2[[#All],[De (Lote)]],0)),'Input_APM (Zenith)'!F380))</f>
        <v/>
      </c>
      <c r="M380" s="209" t="str">
        <f t="shared" si="49"/>
        <v/>
      </c>
      <c r="N380" s="210" t="str">
        <f t="shared" si="50"/>
        <v/>
      </c>
      <c r="O380" s="210" t="str">
        <f t="shared" si="51"/>
        <v/>
      </c>
    </row>
    <row r="381" spans="11:15">
      <c r="K381" s="209" t="str">
        <f t="shared" si="48"/>
        <v/>
      </c>
      <c r="L381" s="209" t="str">
        <f>IF(E381="","",IF(COUNTIFS(Table2[[#All],[De (Lote)]],'Input_APM (Zenith)'!F381)&gt;0,INDEX(Table2[[#All],[Para (Ticker Daniel)]],MATCH('Input_APM (Zenith)'!F381,Table2[[#All],[De (Lote)]],0)),'Input_APM (Zenith)'!F381))</f>
        <v/>
      </c>
      <c r="M381" s="209" t="str">
        <f t="shared" si="49"/>
        <v/>
      </c>
      <c r="N381" s="210" t="str">
        <f t="shared" si="50"/>
        <v/>
      </c>
      <c r="O381" s="210" t="str">
        <f t="shared" si="51"/>
        <v/>
      </c>
    </row>
    <row r="382" spans="11:15">
      <c r="K382" s="209" t="str">
        <f t="shared" si="48"/>
        <v/>
      </c>
      <c r="L382" s="209" t="str">
        <f>IF(E382="","",IF(COUNTIFS(Table2[[#All],[De (Lote)]],'Input_APM (Zenith)'!F382)&gt;0,INDEX(Table2[[#All],[Para (Ticker Daniel)]],MATCH('Input_APM (Zenith)'!F382,Table2[[#All],[De (Lote)]],0)),'Input_APM (Zenith)'!F382))</f>
        <v/>
      </c>
      <c r="M382" s="209" t="str">
        <f t="shared" si="49"/>
        <v/>
      </c>
      <c r="N382" s="210" t="str">
        <f t="shared" si="50"/>
        <v/>
      </c>
      <c r="O382" s="210" t="str">
        <f t="shared" si="51"/>
        <v/>
      </c>
    </row>
    <row r="383" spans="11:15">
      <c r="K383" s="209" t="str">
        <f t="shared" si="48"/>
        <v/>
      </c>
      <c r="L383" s="209" t="str">
        <f>IF(E383="","",IF(COUNTIFS(Table2[[#All],[De (Lote)]],'Input_APM (Zenith)'!F383)&gt;0,INDEX(Table2[[#All],[Para (Ticker Daniel)]],MATCH('Input_APM (Zenith)'!F383,Table2[[#All],[De (Lote)]],0)),'Input_APM (Zenith)'!F383))</f>
        <v/>
      </c>
      <c r="M383" s="209" t="str">
        <f t="shared" si="49"/>
        <v/>
      </c>
      <c r="N383" s="210" t="str">
        <f t="shared" si="50"/>
        <v/>
      </c>
      <c r="O383" s="210" t="str">
        <f t="shared" si="51"/>
        <v/>
      </c>
    </row>
    <row r="384" spans="11:15">
      <c r="K384" s="209" t="str">
        <f t="shared" si="48"/>
        <v/>
      </c>
      <c r="L384" s="209" t="str">
        <f>IF(E384="","",IF(COUNTIFS(Table2[[#All],[De (Lote)]],'Input_APM (Zenith)'!F384)&gt;0,INDEX(Table2[[#All],[Para (Ticker Daniel)]],MATCH('Input_APM (Zenith)'!F384,Table2[[#All],[De (Lote)]],0)),'Input_APM (Zenith)'!F384))</f>
        <v/>
      </c>
      <c r="M384" s="209" t="str">
        <f t="shared" si="49"/>
        <v/>
      </c>
      <c r="N384" s="210" t="str">
        <f t="shared" si="50"/>
        <v/>
      </c>
      <c r="O384" s="210" t="str">
        <f t="shared" si="51"/>
        <v/>
      </c>
    </row>
    <row r="385" spans="8:15">
      <c r="K385" s="209" t="str">
        <f t="shared" si="48"/>
        <v/>
      </c>
      <c r="L385" s="209" t="str">
        <f>IF(E385="","",IF(COUNTIFS(Table2[[#All],[De (Lote)]],'Input_APM (Zenith)'!F385)&gt;0,INDEX(Table2[[#All],[Para (Ticker Daniel)]],MATCH('Input_APM (Zenith)'!F385,Table2[[#All],[De (Lote)]],0)),'Input_APM (Zenith)'!F385))</f>
        <v/>
      </c>
      <c r="M385" s="209" t="str">
        <f t="shared" si="49"/>
        <v/>
      </c>
      <c r="N385" s="210" t="str">
        <f t="shared" si="50"/>
        <v/>
      </c>
      <c r="O385" s="210" t="str">
        <f t="shared" si="51"/>
        <v/>
      </c>
    </row>
    <row r="386" spans="8:15">
      <c r="K386" s="209" t="str">
        <f t="shared" si="48"/>
        <v/>
      </c>
      <c r="L386" s="209" t="str">
        <f>IF(E386="","",IF(COUNTIFS(Table2[[#All],[De (Lote)]],'Input_APM (Zenith)'!F386)&gt;0,INDEX(Table2[[#All],[Para (Ticker Daniel)]],MATCH('Input_APM (Zenith)'!F386,Table2[[#All],[De (Lote)]],0)),'Input_APM (Zenith)'!F386))</f>
        <v/>
      </c>
      <c r="M386" s="209" t="str">
        <f t="shared" si="49"/>
        <v/>
      </c>
      <c r="N386" s="210" t="str">
        <f t="shared" si="50"/>
        <v/>
      </c>
      <c r="O386" s="210" t="str">
        <f t="shared" si="51"/>
        <v/>
      </c>
    </row>
    <row r="387" spans="8:15">
      <c r="H387" s="220"/>
      <c r="K387" s="209" t="str">
        <f t="shared" si="48"/>
        <v/>
      </c>
      <c r="L387" s="209" t="str">
        <f>IF(E387="","",IF(COUNTIFS(Table2[[#All],[De (Lote)]],'Input_APM (Zenith)'!F387)&gt;0,INDEX(Table2[[#All],[Para (Ticker Daniel)]],MATCH('Input_APM (Zenith)'!F387,Table2[[#All],[De (Lote)]],0)),'Input_APM (Zenith)'!F387))</f>
        <v/>
      </c>
      <c r="M387" s="209" t="str">
        <f t="shared" si="49"/>
        <v/>
      </c>
      <c r="N387" s="210" t="str">
        <f t="shared" si="50"/>
        <v/>
      </c>
      <c r="O387" s="210" t="str">
        <f t="shared" si="51"/>
        <v/>
      </c>
    </row>
    <row r="388" spans="8:15">
      <c r="H388" s="220"/>
      <c r="K388" s="209" t="str">
        <f t="shared" si="48"/>
        <v/>
      </c>
      <c r="L388" s="209" t="str">
        <f>IF(E388="","",IF(COUNTIFS(Table2[[#All],[De (Lote)]],'Input_APM (Zenith)'!F388)&gt;0,INDEX(Table2[[#All],[Para (Ticker Daniel)]],MATCH('Input_APM (Zenith)'!F388,Table2[[#All],[De (Lote)]],0)),'Input_APM (Zenith)'!F388))</f>
        <v/>
      </c>
      <c r="M388" s="209" t="str">
        <f t="shared" si="49"/>
        <v/>
      </c>
      <c r="N388" s="210" t="str">
        <f t="shared" si="50"/>
        <v/>
      </c>
      <c r="O388" s="210" t="str">
        <f t="shared" si="51"/>
        <v/>
      </c>
    </row>
    <row r="389" spans="8:15">
      <c r="H389" s="220"/>
      <c r="K389" s="209" t="str">
        <f t="shared" si="48"/>
        <v/>
      </c>
      <c r="L389" s="209" t="str">
        <f>IF(E389="","",IF(COUNTIFS(Table2[[#All],[De (Lote)]],'Input_APM (Zenith)'!F389)&gt;0,INDEX(Table2[[#All],[Para (Ticker Daniel)]],MATCH('Input_APM (Zenith)'!F389,Table2[[#All],[De (Lote)]],0)),'Input_APM (Zenith)'!F389))</f>
        <v/>
      </c>
      <c r="M389" s="209" t="str">
        <f t="shared" si="49"/>
        <v/>
      </c>
      <c r="N389" s="210" t="str">
        <f t="shared" si="50"/>
        <v/>
      </c>
      <c r="O389" s="210" t="str">
        <f t="shared" si="51"/>
        <v/>
      </c>
    </row>
    <row r="390" spans="8:15">
      <c r="H390" s="220"/>
      <c r="K390" s="209" t="str">
        <f t="shared" si="48"/>
        <v/>
      </c>
      <c r="L390" s="209" t="str">
        <f>IF(E390="","",IF(COUNTIFS(Table2[[#All],[De (Lote)]],'Input_APM (Zenith)'!F390)&gt;0,INDEX(Table2[[#All],[Para (Ticker Daniel)]],MATCH('Input_APM (Zenith)'!F390,Table2[[#All],[De (Lote)]],0)),'Input_APM (Zenith)'!F390))</f>
        <v/>
      </c>
      <c r="M390" s="209" t="str">
        <f t="shared" si="49"/>
        <v/>
      </c>
      <c r="N390" s="210" t="str">
        <f t="shared" si="50"/>
        <v/>
      </c>
      <c r="O390" s="210" t="str">
        <f t="shared" si="51"/>
        <v/>
      </c>
    </row>
    <row r="391" spans="8:15">
      <c r="H391" s="220"/>
      <c r="K391" s="209" t="str">
        <f t="shared" si="48"/>
        <v/>
      </c>
      <c r="L391" s="209" t="str">
        <f>IF(E391="","",IF(COUNTIFS(Table2[[#All],[De (Lote)]],'Input_APM (Zenith)'!F391)&gt;0,INDEX(Table2[[#All],[Para (Ticker Daniel)]],MATCH('Input_APM (Zenith)'!F391,Table2[[#All],[De (Lote)]],0)),'Input_APM (Zenith)'!F391))</f>
        <v/>
      </c>
      <c r="M391" s="209" t="str">
        <f t="shared" si="49"/>
        <v/>
      </c>
      <c r="N391" s="210" t="str">
        <f t="shared" si="50"/>
        <v/>
      </c>
      <c r="O391" s="210" t="str">
        <f t="shared" si="51"/>
        <v/>
      </c>
    </row>
    <row r="392" spans="8:15">
      <c r="K392" s="209" t="str">
        <f t="shared" si="48"/>
        <v/>
      </c>
      <c r="L392" s="209" t="str">
        <f>IF(E392="","",IF(COUNTIFS(Table2[[#All],[De (Lote)]],'Input_APM (Zenith)'!F392)&gt;0,INDEX(Table2[[#All],[Para (Ticker Daniel)]],MATCH('Input_APM (Zenith)'!F392,Table2[[#All],[De (Lote)]],0)),'Input_APM (Zenith)'!F392))</f>
        <v/>
      </c>
      <c r="M392" s="209" t="str">
        <f t="shared" si="49"/>
        <v/>
      </c>
      <c r="N392" s="210" t="str">
        <f t="shared" si="50"/>
        <v/>
      </c>
      <c r="O392" s="210" t="str">
        <f t="shared" si="51"/>
        <v/>
      </c>
    </row>
    <row r="393" spans="8:15">
      <c r="K393" s="209" t="str">
        <f t="shared" si="48"/>
        <v/>
      </c>
      <c r="L393" s="209" t="str">
        <f>IF(E393="","",IF(COUNTIFS(Table2[[#All],[De (Lote)]],'Input_APM (Zenith)'!F393)&gt;0,INDEX(Table2[[#All],[Para (Ticker Daniel)]],MATCH('Input_APM (Zenith)'!F393,Table2[[#All],[De (Lote)]],0)),'Input_APM (Zenith)'!F393))</f>
        <v/>
      </c>
      <c r="M393" s="209" t="str">
        <f t="shared" si="49"/>
        <v/>
      </c>
      <c r="N393" s="210" t="str">
        <f t="shared" si="50"/>
        <v/>
      </c>
      <c r="O393" s="210" t="str">
        <f t="shared" si="51"/>
        <v/>
      </c>
    </row>
    <row r="394" spans="8:15">
      <c r="K394" s="209" t="str">
        <f t="shared" si="48"/>
        <v/>
      </c>
      <c r="L394" s="209" t="str">
        <f>IF(E394="","",IF(COUNTIFS(Table2[[#All],[De (Lote)]],'Input_APM (Zenith)'!F394)&gt;0,INDEX(Table2[[#All],[Para (Ticker Daniel)]],MATCH('Input_APM (Zenith)'!F394,Table2[[#All],[De (Lote)]],0)),'Input_APM (Zenith)'!F394))</f>
        <v/>
      </c>
      <c r="M394" s="209" t="str">
        <f t="shared" si="49"/>
        <v/>
      </c>
      <c r="N394" s="210" t="str">
        <f t="shared" si="50"/>
        <v/>
      </c>
      <c r="O394" s="210" t="str">
        <f t="shared" si="51"/>
        <v/>
      </c>
    </row>
    <row r="395" spans="8:15">
      <c r="H395" s="220"/>
      <c r="K395" s="209" t="str">
        <f t="shared" si="48"/>
        <v/>
      </c>
      <c r="L395" s="209" t="str">
        <f>IF(E395="","",IF(COUNTIFS(Table2[[#All],[De (Lote)]],'Input_APM (Zenith)'!F395)&gt;0,INDEX(Table2[[#All],[Para (Ticker Daniel)]],MATCH('Input_APM (Zenith)'!F395,Table2[[#All],[De (Lote)]],0)),'Input_APM (Zenith)'!F395))</f>
        <v/>
      </c>
      <c r="M395" s="209" t="str">
        <f t="shared" si="49"/>
        <v/>
      </c>
      <c r="N395" s="210" t="str">
        <f t="shared" si="50"/>
        <v/>
      </c>
      <c r="O395" s="210" t="str">
        <f t="shared" si="51"/>
        <v/>
      </c>
    </row>
    <row r="396" spans="8:15">
      <c r="K396" s="209" t="str">
        <f t="shared" si="48"/>
        <v/>
      </c>
      <c r="L396" s="209" t="str">
        <f>IF(E396="","",IF(COUNTIFS(Table2[[#All],[De (Lote)]],'Input_APM (Zenith)'!F396)&gt;0,INDEX(Table2[[#All],[Para (Ticker Daniel)]],MATCH('Input_APM (Zenith)'!F396,Table2[[#All],[De (Lote)]],0)),'Input_APM (Zenith)'!F396))</f>
        <v/>
      </c>
      <c r="M396" s="209" t="str">
        <f t="shared" si="49"/>
        <v/>
      </c>
      <c r="N396" s="210" t="str">
        <f t="shared" si="50"/>
        <v/>
      </c>
      <c r="O396" s="210" t="str">
        <f t="shared" si="51"/>
        <v/>
      </c>
    </row>
    <row r="397" spans="8:15">
      <c r="K397" s="209" t="str">
        <f t="shared" si="48"/>
        <v/>
      </c>
      <c r="L397" s="209" t="str">
        <f>IF(E397="","",IF(COUNTIFS(Table2[[#All],[De (Lote)]],'Input_APM (Zenith)'!F397)&gt;0,INDEX(Table2[[#All],[Para (Ticker Daniel)]],MATCH('Input_APM (Zenith)'!F397,Table2[[#All],[De (Lote)]],0)),'Input_APM (Zenith)'!F397))</f>
        <v/>
      </c>
      <c r="M397" s="209" t="str">
        <f t="shared" si="49"/>
        <v/>
      </c>
      <c r="N397" s="210" t="str">
        <f t="shared" si="50"/>
        <v/>
      </c>
      <c r="O397" s="210" t="str">
        <f t="shared" si="51"/>
        <v/>
      </c>
    </row>
    <row r="398" spans="8:15">
      <c r="K398" s="209" t="str">
        <f t="shared" si="48"/>
        <v/>
      </c>
      <c r="L398" s="209" t="str">
        <f>IF(E398="","",IF(COUNTIFS(Table2[[#All],[De (Lote)]],'Input_APM (Zenith)'!F398)&gt;0,INDEX(Table2[[#All],[Para (Ticker Daniel)]],MATCH('Input_APM (Zenith)'!F398,Table2[[#All],[De (Lote)]],0)),'Input_APM (Zenith)'!F398))</f>
        <v/>
      </c>
      <c r="M398" s="209" t="str">
        <f t="shared" si="49"/>
        <v/>
      </c>
      <c r="N398" s="210" t="str">
        <f t="shared" si="50"/>
        <v/>
      </c>
      <c r="O398" s="210" t="str">
        <f t="shared" si="51"/>
        <v/>
      </c>
    </row>
    <row r="399" spans="8:15">
      <c r="K399" s="209" t="str">
        <f t="shared" si="48"/>
        <v/>
      </c>
      <c r="L399" s="209" t="str">
        <f>IF(E399="","",IF(COUNTIFS(Table2[[#All],[De (Lote)]],'Input_APM (Zenith)'!F399)&gt;0,INDEX(Table2[[#All],[Para (Ticker Daniel)]],MATCH('Input_APM (Zenith)'!F399,Table2[[#All],[De (Lote)]],0)),'Input_APM (Zenith)'!F399))</f>
        <v/>
      </c>
      <c r="M399" s="209" t="str">
        <f t="shared" si="49"/>
        <v/>
      </c>
      <c r="N399" s="210" t="str">
        <f t="shared" si="50"/>
        <v/>
      </c>
      <c r="O399" s="210" t="str">
        <f t="shared" si="51"/>
        <v/>
      </c>
    </row>
    <row r="400" spans="8:15">
      <c r="K400" s="209" t="str">
        <f t="shared" si="48"/>
        <v/>
      </c>
      <c r="L400" s="209" t="str">
        <f>IF(E400="","",IF(COUNTIFS(Table2[[#All],[De (Lote)]],'Input_APM (Zenith)'!F400)&gt;0,INDEX(Table2[[#All],[Para (Ticker Daniel)]],MATCH('Input_APM (Zenith)'!F400,Table2[[#All],[De (Lote)]],0)),'Input_APM (Zenith)'!F400))</f>
        <v/>
      </c>
      <c r="M400" s="209" t="str">
        <f t="shared" si="49"/>
        <v/>
      </c>
      <c r="N400" s="210" t="str">
        <f t="shared" si="50"/>
        <v/>
      </c>
      <c r="O400" s="210" t="str">
        <f t="shared" si="51"/>
        <v/>
      </c>
    </row>
    <row r="401" spans="11:15">
      <c r="K401" s="209" t="str">
        <f t="shared" si="48"/>
        <v/>
      </c>
      <c r="L401" s="209" t="str">
        <f>IF(E401="","",IF(COUNTIFS(Table2[[#All],[De (Lote)]],'Input_APM (Zenith)'!F401)&gt;0,INDEX(Table2[[#All],[Para (Ticker Daniel)]],MATCH('Input_APM (Zenith)'!F401,Table2[[#All],[De (Lote)]],0)),'Input_APM (Zenith)'!F401))</f>
        <v/>
      </c>
      <c r="M401" s="209" t="str">
        <f t="shared" si="49"/>
        <v/>
      </c>
      <c r="N401" s="210" t="str">
        <f t="shared" si="50"/>
        <v/>
      </c>
      <c r="O401" s="210" t="str">
        <f t="shared" si="51"/>
        <v/>
      </c>
    </row>
    <row r="402" spans="11:15">
      <c r="K402" s="209" t="str">
        <f t="shared" si="48"/>
        <v/>
      </c>
      <c r="L402" s="209" t="str">
        <f>IF(E402="","",IF(COUNTIFS(Table2[[#All],[De (Lote)]],'Input_APM (Zenith)'!F402)&gt;0,INDEX(Table2[[#All],[Para (Ticker Daniel)]],MATCH('Input_APM (Zenith)'!F402,Table2[[#All],[De (Lote)]],0)),'Input_APM (Zenith)'!F402))</f>
        <v/>
      </c>
      <c r="M402" s="209" t="str">
        <f t="shared" si="49"/>
        <v/>
      </c>
      <c r="N402" s="210" t="str">
        <f t="shared" si="50"/>
        <v/>
      </c>
      <c r="O402" s="210" t="str">
        <f t="shared" si="51"/>
        <v/>
      </c>
    </row>
    <row r="403" spans="11:15">
      <c r="K403" s="209" t="str">
        <f t="shared" si="48"/>
        <v/>
      </c>
      <c r="L403" s="209" t="str">
        <f>IF(E403="","",IF(COUNTIFS(Table2[[#All],[De (Lote)]],'Input_APM (Zenith)'!F403)&gt;0,INDEX(Table2[[#All],[Para (Ticker Daniel)]],MATCH('Input_APM (Zenith)'!F403,Table2[[#All],[De (Lote)]],0)),'Input_APM (Zenith)'!F403))</f>
        <v/>
      </c>
      <c r="M403" s="209" t="str">
        <f t="shared" si="49"/>
        <v/>
      </c>
      <c r="N403" s="210" t="str">
        <f t="shared" si="50"/>
        <v/>
      </c>
      <c r="O403" s="210" t="str">
        <f t="shared" si="51"/>
        <v/>
      </c>
    </row>
    <row r="404" spans="11:15">
      <c r="K404" s="209" t="str">
        <f t="shared" si="48"/>
        <v/>
      </c>
      <c r="L404" s="209" t="str">
        <f>IF(E404="","",IF(COUNTIFS(Table2[[#All],[De (Lote)]],'Input_APM (Zenith)'!F404)&gt;0,INDEX(Table2[[#All],[Para (Ticker Daniel)]],MATCH('Input_APM (Zenith)'!F404,Table2[[#All],[De (Lote)]],0)),'Input_APM (Zenith)'!F404))</f>
        <v/>
      </c>
      <c r="M404" s="209" t="str">
        <f t="shared" si="49"/>
        <v/>
      </c>
      <c r="N404" s="210" t="str">
        <f t="shared" si="50"/>
        <v/>
      </c>
      <c r="O404" s="210" t="str">
        <f t="shared" si="51"/>
        <v/>
      </c>
    </row>
    <row r="405" spans="11:15">
      <c r="K405" s="209" t="str">
        <f t="shared" si="48"/>
        <v/>
      </c>
      <c r="L405" s="209" t="str">
        <f>IF(E405="","",IF(COUNTIFS(Table2[[#All],[De (Lote)]],'Input_APM (Zenith)'!F405)&gt;0,INDEX(Table2[[#All],[Para (Ticker Daniel)]],MATCH('Input_APM (Zenith)'!F405,Table2[[#All],[De (Lote)]],0)),'Input_APM (Zenith)'!F405))</f>
        <v/>
      </c>
      <c r="M405" s="209" t="str">
        <f t="shared" si="49"/>
        <v/>
      </c>
      <c r="N405" s="210" t="str">
        <f t="shared" si="50"/>
        <v/>
      </c>
      <c r="O405" s="210" t="str">
        <f t="shared" si="51"/>
        <v/>
      </c>
    </row>
    <row r="406" spans="11:15">
      <c r="K406" s="209" t="str">
        <f t="shared" si="48"/>
        <v/>
      </c>
      <c r="L406" s="209" t="str">
        <f>IF(E406="","",IF(COUNTIFS(Table2[[#All],[De (Lote)]],'Input_APM (Zenith)'!F406)&gt;0,INDEX(Table2[[#All],[Para (Ticker Daniel)]],MATCH('Input_APM (Zenith)'!F406,Table2[[#All],[De (Lote)]],0)),'Input_APM (Zenith)'!F406))</f>
        <v/>
      </c>
      <c r="M406" s="209" t="str">
        <f t="shared" si="49"/>
        <v/>
      </c>
      <c r="N406" s="210" t="str">
        <f t="shared" si="50"/>
        <v/>
      </c>
      <c r="O406" s="210" t="str">
        <f t="shared" si="51"/>
        <v/>
      </c>
    </row>
    <row r="407" spans="11:15">
      <c r="K407" s="209" t="str">
        <f t="shared" si="48"/>
        <v/>
      </c>
      <c r="L407" s="209" t="str">
        <f>IF(E407="","",IF(COUNTIFS(Table2[[#All],[De (Lote)]],'Input_APM (Zenith)'!F407)&gt;0,INDEX(Table2[[#All],[Para (Ticker Daniel)]],MATCH('Input_APM (Zenith)'!F407,Table2[[#All],[De (Lote)]],0)),'Input_APM (Zenith)'!F407))</f>
        <v/>
      </c>
      <c r="M407" s="209" t="str">
        <f t="shared" si="49"/>
        <v/>
      </c>
      <c r="N407" s="210" t="str">
        <f t="shared" si="50"/>
        <v/>
      </c>
      <c r="O407" s="210" t="str">
        <f t="shared" si="51"/>
        <v/>
      </c>
    </row>
    <row r="408" spans="11:15">
      <c r="K408" s="209" t="str">
        <f t="shared" si="48"/>
        <v/>
      </c>
      <c r="L408" s="209" t="str">
        <f>IF(E408="","",IF(COUNTIFS(Table2[[#All],[De (Lote)]],'Input_APM (Zenith)'!F408)&gt;0,INDEX(Table2[[#All],[Para (Ticker Daniel)]],MATCH('Input_APM (Zenith)'!F408,Table2[[#All],[De (Lote)]],0)),'Input_APM (Zenith)'!F408))</f>
        <v/>
      </c>
      <c r="M408" s="209" t="str">
        <f t="shared" si="49"/>
        <v/>
      </c>
      <c r="N408" s="210" t="str">
        <f t="shared" si="50"/>
        <v/>
      </c>
      <c r="O408" s="210" t="str">
        <f t="shared" si="51"/>
        <v/>
      </c>
    </row>
    <row r="409" spans="11:15">
      <c r="K409" s="209" t="str">
        <f t="shared" si="48"/>
        <v/>
      </c>
      <c r="L409" s="209" t="str">
        <f>IF(E409="","",IF(COUNTIFS(Table2[[#All],[De (Lote)]],'Input_APM (Zenith)'!F409)&gt;0,INDEX(Table2[[#All],[Para (Ticker Daniel)]],MATCH('Input_APM (Zenith)'!F409,Table2[[#All],[De (Lote)]],0)),'Input_APM (Zenith)'!F409))</f>
        <v/>
      </c>
      <c r="M409" s="209" t="str">
        <f t="shared" si="49"/>
        <v/>
      </c>
      <c r="N409" s="210" t="str">
        <f t="shared" si="50"/>
        <v/>
      </c>
      <c r="O409" s="210" t="str">
        <f t="shared" si="51"/>
        <v/>
      </c>
    </row>
    <row r="410" spans="11:15">
      <c r="K410" s="209" t="str">
        <f t="shared" si="48"/>
        <v/>
      </c>
      <c r="L410" s="209" t="str">
        <f>IF(E410="","",IF(COUNTIFS(Table2[[#All],[De (Lote)]],'Input_APM (Zenith)'!F410)&gt;0,INDEX(Table2[[#All],[Para (Ticker Daniel)]],MATCH('Input_APM (Zenith)'!F410,Table2[[#All],[De (Lote)]],0)),'Input_APM (Zenith)'!F410))</f>
        <v/>
      </c>
      <c r="M410" s="209" t="str">
        <f t="shared" si="49"/>
        <v/>
      </c>
      <c r="N410" s="210" t="str">
        <f t="shared" si="50"/>
        <v/>
      </c>
      <c r="O410" s="210" t="str">
        <f t="shared" si="51"/>
        <v/>
      </c>
    </row>
    <row r="411" spans="11:15">
      <c r="K411" s="209" t="str">
        <f t="shared" si="48"/>
        <v/>
      </c>
      <c r="L411" s="209" t="str">
        <f>IF(E411="","",IF(COUNTIFS(Table2[[#All],[De (Lote)]],'Input_APM (Zenith)'!F411)&gt;0,INDEX(Table2[[#All],[Para (Ticker Daniel)]],MATCH('Input_APM (Zenith)'!F411,Table2[[#All],[De (Lote)]],0)),'Input_APM (Zenith)'!F411))</f>
        <v/>
      </c>
      <c r="M411" s="209" t="str">
        <f t="shared" si="49"/>
        <v/>
      </c>
      <c r="N411" s="210" t="str">
        <f t="shared" si="50"/>
        <v/>
      </c>
      <c r="O411" s="210" t="str">
        <f t="shared" si="51"/>
        <v/>
      </c>
    </row>
    <row r="412" spans="11:15">
      <c r="K412" s="209" t="str">
        <f t="shared" si="48"/>
        <v/>
      </c>
      <c r="L412" s="209" t="str">
        <f>IF(E412="","",IF(COUNTIFS(Table2[[#All],[De (Lote)]],'Input_APM (Zenith)'!F412)&gt;0,INDEX(Table2[[#All],[Para (Ticker Daniel)]],MATCH('Input_APM (Zenith)'!F412,Table2[[#All],[De (Lote)]],0)),'Input_APM (Zenith)'!F412))</f>
        <v/>
      </c>
      <c r="M412" s="209" t="str">
        <f t="shared" si="49"/>
        <v/>
      </c>
      <c r="N412" s="210" t="str">
        <f t="shared" si="50"/>
        <v/>
      </c>
      <c r="O412" s="210" t="str">
        <f t="shared" si="51"/>
        <v/>
      </c>
    </row>
    <row r="413" spans="11:15">
      <c r="K413" s="209" t="str">
        <f t="shared" si="48"/>
        <v/>
      </c>
      <c r="L413" s="209" t="str">
        <f>IF(E413="","",IF(COUNTIFS(Table2[[#All],[De (Lote)]],'Input_APM (Zenith)'!F413)&gt;0,INDEX(Table2[[#All],[Para (Ticker Daniel)]],MATCH('Input_APM (Zenith)'!F413,Table2[[#All],[De (Lote)]],0)),'Input_APM (Zenith)'!F413))</f>
        <v/>
      </c>
      <c r="M413" s="209" t="str">
        <f t="shared" si="49"/>
        <v/>
      </c>
      <c r="N413" s="210" t="str">
        <f t="shared" si="50"/>
        <v/>
      </c>
      <c r="O413" s="210" t="str">
        <f t="shared" si="51"/>
        <v/>
      </c>
    </row>
    <row r="414" spans="11:15">
      <c r="K414" s="209" t="str">
        <f t="shared" si="48"/>
        <v/>
      </c>
      <c r="L414" s="209" t="str">
        <f>IF(E414="","",IF(COUNTIFS(Table2[[#All],[De (Lote)]],'Input_APM (Zenith)'!F414)&gt;0,INDEX(Table2[[#All],[Para (Ticker Daniel)]],MATCH('Input_APM (Zenith)'!F414,Table2[[#All],[De (Lote)]],0)),'Input_APM (Zenith)'!F414))</f>
        <v/>
      </c>
      <c r="M414" s="209" t="str">
        <f t="shared" si="49"/>
        <v/>
      </c>
      <c r="N414" s="210" t="str">
        <f t="shared" si="50"/>
        <v/>
      </c>
      <c r="O414" s="210" t="str">
        <f t="shared" si="51"/>
        <v/>
      </c>
    </row>
    <row r="415" spans="11:15">
      <c r="K415" s="209" t="str">
        <f t="shared" si="48"/>
        <v/>
      </c>
      <c r="L415" s="209" t="str">
        <f>IF(E415="","",IF(COUNTIFS(Table2[[#All],[De (Lote)]],'Input_APM (Zenith)'!F415)&gt;0,INDEX(Table2[[#All],[Para (Ticker Daniel)]],MATCH('Input_APM (Zenith)'!F415,Table2[[#All],[De (Lote)]],0)),'Input_APM (Zenith)'!F415))</f>
        <v/>
      </c>
      <c r="M415" s="209" t="str">
        <f t="shared" si="49"/>
        <v/>
      </c>
      <c r="N415" s="210" t="str">
        <f t="shared" si="50"/>
        <v/>
      </c>
      <c r="O415" s="210" t="str">
        <f t="shared" si="51"/>
        <v/>
      </c>
    </row>
    <row r="416" spans="11:15">
      <c r="K416" s="209" t="str">
        <f t="shared" si="48"/>
        <v/>
      </c>
      <c r="L416" s="209" t="str">
        <f>IF(E416="","",IF(COUNTIFS(Table2[[#All],[De (Lote)]],'Input_APM (Zenith)'!F416)&gt;0,INDEX(Table2[[#All],[Para (Ticker Daniel)]],MATCH('Input_APM (Zenith)'!F416,Table2[[#All],[De (Lote)]],0)),'Input_APM (Zenith)'!F416))</f>
        <v/>
      </c>
      <c r="M416" s="209" t="str">
        <f t="shared" si="49"/>
        <v/>
      </c>
      <c r="N416" s="210" t="str">
        <f t="shared" si="50"/>
        <v/>
      </c>
      <c r="O416" s="210" t="str">
        <f t="shared" si="51"/>
        <v/>
      </c>
    </row>
    <row r="417" spans="11:15">
      <c r="K417" s="209" t="str">
        <f t="shared" si="48"/>
        <v/>
      </c>
      <c r="L417" s="209" t="str">
        <f>IF(E417="","",IF(COUNTIFS(Table2[[#All],[De (Lote)]],'Input_APM (Zenith)'!F417)&gt;0,INDEX(Table2[[#All],[Para (Ticker Daniel)]],MATCH('Input_APM (Zenith)'!F417,Table2[[#All],[De (Lote)]],0)),'Input_APM (Zenith)'!F417))</f>
        <v/>
      </c>
      <c r="M417" s="209" t="str">
        <f t="shared" si="49"/>
        <v/>
      </c>
      <c r="N417" s="210" t="str">
        <f t="shared" si="50"/>
        <v/>
      </c>
      <c r="O417" s="210" t="str">
        <f t="shared" si="51"/>
        <v/>
      </c>
    </row>
    <row r="418" spans="11:15">
      <c r="K418" s="209" t="str">
        <f t="shared" si="48"/>
        <v/>
      </c>
      <c r="L418" s="209" t="str">
        <f>IF(E418="","",IF(COUNTIFS(Table2[[#All],[De (Lote)]],'Input_APM (Zenith)'!F418)&gt;0,INDEX(Table2[[#All],[Para (Ticker Daniel)]],MATCH('Input_APM (Zenith)'!F418,Table2[[#All],[De (Lote)]],0)),'Input_APM (Zenith)'!F418))</f>
        <v/>
      </c>
      <c r="M418" s="209" t="str">
        <f t="shared" si="49"/>
        <v/>
      </c>
      <c r="N418" s="210" t="str">
        <f t="shared" si="50"/>
        <v/>
      </c>
      <c r="O418" s="210" t="str">
        <f t="shared" si="51"/>
        <v/>
      </c>
    </row>
    <row r="419" spans="11:15">
      <c r="K419" s="209" t="str">
        <f t="shared" si="48"/>
        <v/>
      </c>
      <c r="L419" s="209" t="str">
        <f>IF(E419="","",IF(COUNTIFS(Table2[[#All],[De (Lote)]],'Input_APM (Zenith)'!F419)&gt;0,INDEX(Table2[[#All],[Para (Ticker Daniel)]],MATCH('Input_APM (Zenith)'!F419,Table2[[#All],[De (Lote)]],0)),'Input_APM (Zenith)'!F419))</f>
        <v/>
      </c>
      <c r="M419" s="209" t="str">
        <f t="shared" si="49"/>
        <v/>
      </c>
      <c r="N419" s="210" t="str">
        <f t="shared" si="50"/>
        <v/>
      </c>
      <c r="O419" s="210" t="str">
        <f t="shared" si="51"/>
        <v/>
      </c>
    </row>
    <row r="420" spans="11:15">
      <c r="K420" s="209" t="str">
        <f t="shared" si="48"/>
        <v/>
      </c>
      <c r="L420" s="209" t="str">
        <f>IF(E420="","",IF(COUNTIFS(Table2[[#All],[De (Lote)]],'Input_APM (Zenith)'!F420)&gt;0,INDEX(Table2[[#All],[Para (Ticker Daniel)]],MATCH('Input_APM (Zenith)'!F420,Table2[[#All],[De (Lote)]],0)),'Input_APM (Zenith)'!F420))</f>
        <v/>
      </c>
      <c r="M420" s="209" t="str">
        <f t="shared" si="49"/>
        <v/>
      </c>
      <c r="N420" s="210" t="str">
        <f t="shared" si="50"/>
        <v/>
      </c>
      <c r="O420" s="210" t="str">
        <f t="shared" si="51"/>
        <v/>
      </c>
    </row>
    <row r="421" spans="11:15">
      <c r="K421" s="209" t="str">
        <f t="shared" si="48"/>
        <v/>
      </c>
      <c r="L421" s="209" t="str">
        <f>IF(E421="","",IF(COUNTIFS(Table2[[#All],[De (Lote)]],'Input_APM (Zenith)'!F421)&gt;0,INDEX(Table2[[#All],[Para (Ticker Daniel)]],MATCH('Input_APM (Zenith)'!F421,Table2[[#All],[De (Lote)]],0)),'Input_APM (Zenith)'!F421))</f>
        <v/>
      </c>
      <c r="M421" s="209" t="str">
        <f t="shared" si="49"/>
        <v/>
      </c>
      <c r="N421" s="210" t="str">
        <f t="shared" si="50"/>
        <v/>
      </c>
      <c r="O421" s="210" t="str">
        <f t="shared" si="51"/>
        <v/>
      </c>
    </row>
    <row r="422" spans="11:15">
      <c r="K422" s="209" t="str">
        <f t="shared" ref="K422:K485" si="52">IF(E422="","",E422)</f>
        <v/>
      </c>
      <c r="L422" s="209" t="str">
        <f>IF(E422="","",IF(COUNTIFS(Table2[[#All],[De (Lote)]],'Input_APM (Zenith)'!F422)&gt;0,INDEX(Table2[[#All],[Para (Ticker Daniel)]],MATCH('Input_APM (Zenith)'!F422,Table2[[#All],[De (Lote)]],0)),'Input_APM (Zenith)'!F422))</f>
        <v/>
      </c>
      <c r="M422" s="209" t="str">
        <f t="shared" ref="M422:M485" si="53">IF(E422="","",G422)</f>
        <v/>
      </c>
      <c r="N422" s="210" t="str">
        <f t="shared" ref="N422:N485" si="54">IF(E422="","",H422)</f>
        <v/>
      </c>
      <c r="O422" s="210" t="str">
        <f t="shared" ref="O422:O485" si="55">IF(E422="","",I422)</f>
        <v/>
      </c>
    </row>
    <row r="423" spans="11:15">
      <c r="K423" s="209" t="str">
        <f t="shared" si="52"/>
        <v/>
      </c>
      <c r="L423" s="209" t="str">
        <f>IF(E423="","",IF(COUNTIFS(Table2[[#All],[De (Lote)]],'Input_APM (Zenith)'!F423)&gt;0,INDEX(Table2[[#All],[Para (Ticker Daniel)]],MATCH('Input_APM (Zenith)'!F423,Table2[[#All],[De (Lote)]],0)),'Input_APM (Zenith)'!F423))</f>
        <v/>
      </c>
      <c r="M423" s="209" t="str">
        <f t="shared" si="53"/>
        <v/>
      </c>
      <c r="N423" s="210" t="str">
        <f t="shared" si="54"/>
        <v/>
      </c>
      <c r="O423" s="210" t="str">
        <f t="shared" si="55"/>
        <v/>
      </c>
    </row>
    <row r="424" spans="11:15">
      <c r="K424" s="209" t="str">
        <f t="shared" si="52"/>
        <v/>
      </c>
      <c r="L424" s="209" t="str">
        <f>IF(E424="","",IF(COUNTIFS(Table2[[#All],[De (Lote)]],'Input_APM (Zenith)'!F424)&gt;0,INDEX(Table2[[#All],[Para (Ticker Daniel)]],MATCH('Input_APM (Zenith)'!F424,Table2[[#All],[De (Lote)]],0)),'Input_APM (Zenith)'!F424))</f>
        <v/>
      </c>
      <c r="M424" s="209" t="str">
        <f t="shared" si="53"/>
        <v/>
      </c>
      <c r="N424" s="210" t="str">
        <f t="shared" si="54"/>
        <v/>
      </c>
      <c r="O424" s="210" t="str">
        <f t="shared" si="55"/>
        <v/>
      </c>
    </row>
    <row r="425" spans="11:15">
      <c r="K425" s="209" t="str">
        <f t="shared" si="52"/>
        <v/>
      </c>
      <c r="L425" s="209" t="str">
        <f>IF(E425="","",IF(COUNTIFS(Table2[[#All],[De (Lote)]],'Input_APM (Zenith)'!F425)&gt;0,INDEX(Table2[[#All],[Para (Ticker Daniel)]],MATCH('Input_APM (Zenith)'!F425,Table2[[#All],[De (Lote)]],0)),'Input_APM (Zenith)'!F425))</f>
        <v/>
      </c>
      <c r="M425" s="209" t="str">
        <f t="shared" si="53"/>
        <v/>
      </c>
      <c r="N425" s="210" t="str">
        <f t="shared" si="54"/>
        <v/>
      </c>
      <c r="O425" s="210" t="str">
        <f t="shared" si="55"/>
        <v/>
      </c>
    </row>
    <row r="426" spans="11:15">
      <c r="K426" s="209" t="str">
        <f t="shared" si="52"/>
        <v/>
      </c>
      <c r="L426" s="209" t="str">
        <f>IF(E426="","",IF(COUNTIFS(Table2[[#All],[De (Lote)]],'Input_APM (Zenith)'!F426)&gt;0,INDEX(Table2[[#All],[Para (Ticker Daniel)]],MATCH('Input_APM (Zenith)'!F426,Table2[[#All],[De (Lote)]],0)),'Input_APM (Zenith)'!F426))</f>
        <v/>
      </c>
      <c r="M426" s="209" t="str">
        <f t="shared" si="53"/>
        <v/>
      </c>
      <c r="N426" s="210" t="str">
        <f t="shared" si="54"/>
        <v/>
      </c>
      <c r="O426" s="210" t="str">
        <f t="shared" si="55"/>
        <v/>
      </c>
    </row>
    <row r="427" spans="11:15">
      <c r="K427" s="209" t="str">
        <f t="shared" si="52"/>
        <v/>
      </c>
      <c r="L427" s="209" t="str">
        <f>IF(E427="","",IF(COUNTIFS(Table2[[#All],[De (Lote)]],'Input_APM (Zenith)'!F427)&gt;0,INDEX(Table2[[#All],[Para (Ticker Daniel)]],MATCH('Input_APM (Zenith)'!F427,Table2[[#All],[De (Lote)]],0)),'Input_APM (Zenith)'!F427))</f>
        <v/>
      </c>
      <c r="M427" s="209" t="str">
        <f t="shared" si="53"/>
        <v/>
      </c>
      <c r="N427" s="210" t="str">
        <f t="shared" si="54"/>
        <v/>
      </c>
      <c r="O427" s="210" t="str">
        <f t="shared" si="55"/>
        <v/>
      </c>
    </row>
    <row r="428" spans="11:15">
      <c r="K428" s="209" t="str">
        <f t="shared" si="52"/>
        <v/>
      </c>
      <c r="L428" s="209" t="str">
        <f>IF(E428="","",IF(COUNTIFS(Table2[[#All],[De (Lote)]],'Input_APM (Zenith)'!F428)&gt;0,INDEX(Table2[[#All],[Para (Ticker Daniel)]],MATCH('Input_APM (Zenith)'!F428,Table2[[#All],[De (Lote)]],0)),'Input_APM (Zenith)'!F428))</f>
        <v/>
      </c>
      <c r="M428" s="209" t="str">
        <f t="shared" si="53"/>
        <v/>
      </c>
      <c r="N428" s="210" t="str">
        <f t="shared" si="54"/>
        <v/>
      </c>
      <c r="O428" s="210" t="str">
        <f t="shared" si="55"/>
        <v/>
      </c>
    </row>
    <row r="429" spans="11:15">
      <c r="K429" s="209" t="str">
        <f t="shared" si="52"/>
        <v/>
      </c>
      <c r="L429" s="209" t="str">
        <f>IF(E429="","",IF(COUNTIFS(Table2[[#All],[De (Lote)]],'Input_APM (Zenith)'!F429)&gt;0,INDEX(Table2[[#All],[Para (Ticker Daniel)]],MATCH('Input_APM (Zenith)'!F429,Table2[[#All],[De (Lote)]],0)),'Input_APM (Zenith)'!F429))</f>
        <v/>
      </c>
      <c r="M429" s="209" t="str">
        <f t="shared" si="53"/>
        <v/>
      </c>
      <c r="N429" s="210" t="str">
        <f t="shared" si="54"/>
        <v/>
      </c>
      <c r="O429" s="210" t="str">
        <f t="shared" si="55"/>
        <v/>
      </c>
    </row>
    <row r="430" spans="11:15">
      <c r="K430" s="209" t="str">
        <f t="shared" si="52"/>
        <v/>
      </c>
      <c r="L430" s="209" t="str">
        <f>IF(E430="","",IF(COUNTIFS(Table2[[#All],[De (Lote)]],'Input_APM (Zenith)'!F430)&gt;0,INDEX(Table2[[#All],[Para (Ticker Daniel)]],MATCH('Input_APM (Zenith)'!F430,Table2[[#All],[De (Lote)]],0)),'Input_APM (Zenith)'!F430))</f>
        <v/>
      </c>
      <c r="M430" s="209" t="str">
        <f t="shared" si="53"/>
        <v/>
      </c>
      <c r="N430" s="210" t="str">
        <f t="shared" si="54"/>
        <v/>
      </c>
      <c r="O430" s="210" t="str">
        <f t="shared" si="55"/>
        <v/>
      </c>
    </row>
    <row r="431" spans="11:15">
      <c r="K431" s="209" t="str">
        <f t="shared" si="52"/>
        <v/>
      </c>
      <c r="L431" s="209" t="str">
        <f>IF(E431="","",IF(COUNTIFS(Table2[[#All],[De (Lote)]],'Input_APM (Zenith)'!F431)&gt;0,INDEX(Table2[[#All],[Para (Ticker Daniel)]],MATCH('Input_APM (Zenith)'!F431,Table2[[#All],[De (Lote)]],0)),'Input_APM (Zenith)'!F431))</f>
        <v/>
      </c>
      <c r="M431" s="209" t="str">
        <f t="shared" si="53"/>
        <v/>
      </c>
      <c r="N431" s="210" t="str">
        <f t="shared" si="54"/>
        <v/>
      </c>
      <c r="O431" s="210" t="str">
        <f t="shared" si="55"/>
        <v/>
      </c>
    </row>
    <row r="432" spans="11:15">
      <c r="K432" s="209" t="str">
        <f t="shared" si="52"/>
        <v/>
      </c>
      <c r="L432" s="209" t="str">
        <f>IF(E432="","",IF(COUNTIFS(Table2[[#All],[De (Lote)]],'Input_APM (Zenith)'!F432)&gt;0,INDEX(Table2[[#All],[Para (Ticker Daniel)]],MATCH('Input_APM (Zenith)'!F432,Table2[[#All],[De (Lote)]],0)),'Input_APM (Zenith)'!F432))</f>
        <v/>
      </c>
      <c r="M432" s="209" t="str">
        <f t="shared" si="53"/>
        <v/>
      </c>
      <c r="N432" s="210" t="str">
        <f t="shared" si="54"/>
        <v/>
      </c>
      <c r="O432" s="210" t="str">
        <f t="shared" si="55"/>
        <v/>
      </c>
    </row>
    <row r="433" spans="11:15">
      <c r="K433" s="209" t="str">
        <f t="shared" si="52"/>
        <v/>
      </c>
      <c r="L433" s="209" t="str">
        <f>IF(E433="","",IF(COUNTIFS(Table2[[#All],[De (Lote)]],'Input_APM (Zenith)'!F433)&gt;0,INDEX(Table2[[#All],[Para (Ticker Daniel)]],MATCH('Input_APM (Zenith)'!F433,Table2[[#All],[De (Lote)]],0)),'Input_APM (Zenith)'!F433))</f>
        <v/>
      </c>
      <c r="M433" s="209" t="str">
        <f t="shared" si="53"/>
        <v/>
      </c>
      <c r="N433" s="210" t="str">
        <f t="shared" si="54"/>
        <v/>
      </c>
      <c r="O433" s="210" t="str">
        <f t="shared" si="55"/>
        <v/>
      </c>
    </row>
    <row r="434" spans="11:15">
      <c r="K434" s="209" t="str">
        <f t="shared" si="52"/>
        <v/>
      </c>
      <c r="L434" s="209" t="str">
        <f>IF(E434="","",IF(COUNTIFS(Table2[[#All],[De (Lote)]],'Input_APM (Zenith)'!F434)&gt;0,INDEX(Table2[[#All],[Para (Ticker Daniel)]],MATCH('Input_APM (Zenith)'!F434,Table2[[#All],[De (Lote)]],0)),'Input_APM (Zenith)'!F434))</f>
        <v/>
      </c>
      <c r="M434" s="209" t="str">
        <f t="shared" si="53"/>
        <v/>
      </c>
      <c r="N434" s="210" t="str">
        <f t="shared" si="54"/>
        <v/>
      </c>
      <c r="O434" s="210" t="str">
        <f t="shared" si="55"/>
        <v/>
      </c>
    </row>
    <row r="435" spans="11:15">
      <c r="K435" s="209" t="str">
        <f t="shared" si="52"/>
        <v/>
      </c>
      <c r="L435" s="209" t="str">
        <f>IF(E435="","",IF(COUNTIFS(Table2[[#All],[De (Lote)]],'Input_APM (Zenith)'!F435)&gt;0,INDEX(Table2[[#All],[Para (Ticker Daniel)]],MATCH('Input_APM (Zenith)'!F435,Table2[[#All],[De (Lote)]],0)),'Input_APM (Zenith)'!F435))</f>
        <v/>
      </c>
      <c r="M435" s="209" t="str">
        <f t="shared" si="53"/>
        <v/>
      </c>
      <c r="N435" s="210" t="str">
        <f t="shared" si="54"/>
        <v/>
      </c>
      <c r="O435" s="210" t="str">
        <f t="shared" si="55"/>
        <v/>
      </c>
    </row>
    <row r="436" spans="11:15">
      <c r="K436" s="209" t="str">
        <f t="shared" si="52"/>
        <v/>
      </c>
      <c r="L436" s="209" t="str">
        <f>IF(E436="","",IF(COUNTIFS(Table2[[#All],[De (Lote)]],'Input_APM (Zenith)'!F436)&gt;0,INDEX(Table2[[#All],[Para (Ticker Daniel)]],MATCH('Input_APM (Zenith)'!F436,Table2[[#All],[De (Lote)]],0)),'Input_APM (Zenith)'!F436))</f>
        <v/>
      </c>
      <c r="M436" s="209" t="str">
        <f t="shared" si="53"/>
        <v/>
      </c>
      <c r="N436" s="210" t="str">
        <f t="shared" si="54"/>
        <v/>
      </c>
      <c r="O436" s="210" t="str">
        <f t="shared" si="55"/>
        <v/>
      </c>
    </row>
    <row r="437" spans="11:15">
      <c r="K437" s="209" t="str">
        <f t="shared" si="52"/>
        <v/>
      </c>
      <c r="L437" s="209" t="str">
        <f>IF(E437="","",IF(COUNTIFS(Table2[[#All],[De (Lote)]],'Input_APM (Zenith)'!F437)&gt;0,INDEX(Table2[[#All],[Para (Ticker Daniel)]],MATCH('Input_APM (Zenith)'!F437,Table2[[#All],[De (Lote)]],0)),'Input_APM (Zenith)'!F437))</f>
        <v/>
      </c>
      <c r="M437" s="209" t="str">
        <f t="shared" si="53"/>
        <v/>
      </c>
      <c r="N437" s="210" t="str">
        <f t="shared" si="54"/>
        <v/>
      </c>
      <c r="O437" s="210" t="str">
        <f t="shared" si="55"/>
        <v/>
      </c>
    </row>
    <row r="438" spans="11:15">
      <c r="K438" s="209" t="str">
        <f t="shared" si="52"/>
        <v/>
      </c>
      <c r="L438" s="209" t="str">
        <f>IF(E438="","",IF(COUNTIFS(Table2[[#All],[De (Lote)]],'Input_APM (Zenith)'!F438)&gt;0,INDEX(Table2[[#All],[Para (Ticker Daniel)]],MATCH('Input_APM (Zenith)'!F438,Table2[[#All],[De (Lote)]],0)),'Input_APM (Zenith)'!F438))</f>
        <v/>
      </c>
      <c r="M438" s="209" t="str">
        <f t="shared" si="53"/>
        <v/>
      </c>
      <c r="N438" s="210" t="str">
        <f t="shared" si="54"/>
        <v/>
      </c>
      <c r="O438" s="210" t="str">
        <f t="shared" si="55"/>
        <v/>
      </c>
    </row>
    <row r="439" spans="11:15">
      <c r="K439" s="209" t="str">
        <f t="shared" si="52"/>
        <v/>
      </c>
      <c r="L439" s="209" t="str">
        <f>IF(E439="","",IF(COUNTIFS(Table2[[#All],[De (Lote)]],'Input_APM (Zenith)'!F439)&gt;0,INDEX(Table2[[#All],[Para (Ticker Daniel)]],MATCH('Input_APM (Zenith)'!F439,Table2[[#All],[De (Lote)]],0)),'Input_APM (Zenith)'!F439))</f>
        <v/>
      </c>
      <c r="M439" s="209" t="str">
        <f t="shared" si="53"/>
        <v/>
      </c>
      <c r="N439" s="210" t="str">
        <f t="shared" si="54"/>
        <v/>
      </c>
      <c r="O439" s="210" t="str">
        <f t="shared" si="55"/>
        <v/>
      </c>
    </row>
    <row r="440" spans="11:15">
      <c r="K440" s="209" t="str">
        <f t="shared" si="52"/>
        <v/>
      </c>
      <c r="L440" s="209" t="str">
        <f>IF(E440="","",IF(COUNTIFS(Table2[[#All],[De (Lote)]],'Input_APM (Zenith)'!F440)&gt;0,INDEX(Table2[[#All],[Para (Ticker Daniel)]],MATCH('Input_APM (Zenith)'!F440,Table2[[#All],[De (Lote)]],0)),'Input_APM (Zenith)'!F440))</f>
        <v/>
      </c>
      <c r="M440" s="209" t="str">
        <f t="shared" si="53"/>
        <v/>
      </c>
      <c r="N440" s="210" t="str">
        <f t="shared" si="54"/>
        <v/>
      </c>
      <c r="O440" s="210" t="str">
        <f t="shared" si="55"/>
        <v/>
      </c>
    </row>
    <row r="441" spans="11:15">
      <c r="K441" s="209" t="str">
        <f t="shared" si="52"/>
        <v/>
      </c>
      <c r="L441" s="209" t="str">
        <f>IF(E441="","",IF(COUNTIFS(Table2[[#All],[De (Lote)]],'Input_APM (Zenith)'!F441)&gt;0,INDEX(Table2[[#All],[Para (Ticker Daniel)]],MATCH('Input_APM (Zenith)'!F441,Table2[[#All],[De (Lote)]],0)),'Input_APM (Zenith)'!F441))</f>
        <v/>
      </c>
      <c r="M441" s="209" t="str">
        <f t="shared" si="53"/>
        <v/>
      </c>
      <c r="N441" s="210" t="str">
        <f t="shared" si="54"/>
        <v/>
      </c>
      <c r="O441" s="210" t="str">
        <f t="shared" si="55"/>
        <v/>
      </c>
    </row>
    <row r="442" spans="11:15">
      <c r="K442" s="209" t="str">
        <f t="shared" si="52"/>
        <v/>
      </c>
      <c r="L442" s="209" t="str">
        <f>IF(E442="","",IF(COUNTIFS(Table2[[#All],[De (Lote)]],'Input_APM (Zenith)'!F442)&gt;0,INDEX(Table2[[#All],[Para (Ticker Daniel)]],MATCH('Input_APM (Zenith)'!F442,Table2[[#All],[De (Lote)]],0)),'Input_APM (Zenith)'!F442))</f>
        <v/>
      </c>
      <c r="M442" s="209" t="str">
        <f t="shared" si="53"/>
        <v/>
      </c>
      <c r="N442" s="210" t="str">
        <f t="shared" si="54"/>
        <v/>
      </c>
      <c r="O442" s="210" t="str">
        <f t="shared" si="55"/>
        <v/>
      </c>
    </row>
    <row r="443" spans="11:15">
      <c r="K443" s="209" t="str">
        <f t="shared" si="52"/>
        <v/>
      </c>
      <c r="L443" s="209" t="str">
        <f>IF(E443="","",IF(COUNTIFS(Table2[[#All],[De (Lote)]],'Input_APM (Zenith)'!F443)&gt;0,INDEX(Table2[[#All],[Para (Ticker Daniel)]],MATCH('Input_APM (Zenith)'!F443,Table2[[#All],[De (Lote)]],0)),'Input_APM (Zenith)'!F443))</f>
        <v/>
      </c>
      <c r="M443" s="209" t="str">
        <f t="shared" si="53"/>
        <v/>
      </c>
      <c r="N443" s="210" t="str">
        <f t="shared" si="54"/>
        <v/>
      </c>
      <c r="O443" s="210" t="str">
        <f t="shared" si="55"/>
        <v/>
      </c>
    </row>
    <row r="444" spans="11:15">
      <c r="K444" s="209" t="str">
        <f t="shared" si="52"/>
        <v/>
      </c>
      <c r="L444" s="209" t="str">
        <f>IF(E444="","",IF(COUNTIFS(Table2[[#All],[De (Lote)]],'Input_APM (Zenith)'!F444)&gt;0,INDEX(Table2[[#All],[Para (Ticker Daniel)]],MATCH('Input_APM (Zenith)'!F444,Table2[[#All],[De (Lote)]],0)),'Input_APM (Zenith)'!F444))</f>
        <v/>
      </c>
      <c r="M444" s="209" t="str">
        <f t="shared" si="53"/>
        <v/>
      </c>
      <c r="N444" s="210" t="str">
        <f t="shared" si="54"/>
        <v/>
      </c>
      <c r="O444" s="210" t="str">
        <f t="shared" si="55"/>
        <v/>
      </c>
    </row>
    <row r="445" spans="11:15">
      <c r="K445" s="209" t="str">
        <f t="shared" si="52"/>
        <v/>
      </c>
      <c r="L445" s="209" t="str">
        <f>IF(E445="","",IF(COUNTIFS(Table2[[#All],[De (Lote)]],'Input_APM (Zenith)'!F445)&gt;0,INDEX(Table2[[#All],[Para (Ticker Daniel)]],MATCH('Input_APM (Zenith)'!F445,Table2[[#All],[De (Lote)]],0)),'Input_APM (Zenith)'!F445))</f>
        <v/>
      </c>
      <c r="M445" s="209" t="str">
        <f t="shared" si="53"/>
        <v/>
      </c>
      <c r="N445" s="210" t="str">
        <f t="shared" si="54"/>
        <v/>
      </c>
      <c r="O445" s="210" t="str">
        <f t="shared" si="55"/>
        <v/>
      </c>
    </row>
    <row r="446" spans="11:15">
      <c r="K446" s="209" t="str">
        <f t="shared" si="52"/>
        <v/>
      </c>
      <c r="L446" s="209" t="str">
        <f>IF(E446="","",IF(COUNTIFS(Table2[[#All],[De (Lote)]],'Input_APM (Zenith)'!F446)&gt;0,INDEX(Table2[[#All],[Para (Ticker Daniel)]],MATCH('Input_APM (Zenith)'!F446,Table2[[#All],[De (Lote)]],0)),'Input_APM (Zenith)'!F446))</f>
        <v/>
      </c>
      <c r="M446" s="209" t="str">
        <f t="shared" si="53"/>
        <v/>
      </c>
      <c r="N446" s="210" t="str">
        <f t="shared" si="54"/>
        <v/>
      </c>
      <c r="O446" s="210" t="str">
        <f t="shared" si="55"/>
        <v/>
      </c>
    </row>
    <row r="447" spans="11:15">
      <c r="K447" s="209" t="str">
        <f t="shared" si="52"/>
        <v/>
      </c>
      <c r="L447" s="209" t="str">
        <f>IF(E447="","",IF(COUNTIFS(Table2[[#All],[De (Lote)]],'Input_APM (Zenith)'!F447)&gt;0,INDEX(Table2[[#All],[Para (Ticker Daniel)]],MATCH('Input_APM (Zenith)'!F447,Table2[[#All],[De (Lote)]],0)),'Input_APM (Zenith)'!F447))</f>
        <v/>
      </c>
      <c r="M447" s="209" t="str">
        <f t="shared" si="53"/>
        <v/>
      </c>
      <c r="N447" s="210" t="str">
        <f t="shared" si="54"/>
        <v/>
      </c>
      <c r="O447" s="210" t="str">
        <f t="shared" si="55"/>
        <v/>
      </c>
    </row>
    <row r="448" spans="11:15">
      <c r="K448" s="209" t="str">
        <f t="shared" si="52"/>
        <v/>
      </c>
      <c r="L448" s="209" t="str">
        <f>IF(E448="","",IF(COUNTIFS(Table2[[#All],[De (Lote)]],'Input_APM (Zenith)'!F448)&gt;0,INDEX(Table2[[#All],[Para (Ticker Daniel)]],MATCH('Input_APM (Zenith)'!F448,Table2[[#All],[De (Lote)]],0)),'Input_APM (Zenith)'!F448))</f>
        <v/>
      </c>
      <c r="M448" s="209" t="str">
        <f t="shared" si="53"/>
        <v/>
      </c>
      <c r="N448" s="210" t="str">
        <f t="shared" si="54"/>
        <v/>
      </c>
      <c r="O448" s="210" t="str">
        <f t="shared" si="55"/>
        <v/>
      </c>
    </row>
    <row r="449" spans="11:15">
      <c r="K449" s="209" t="str">
        <f t="shared" si="52"/>
        <v/>
      </c>
      <c r="L449" s="209" t="str">
        <f>IF(E449="","",IF(COUNTIFS(Table2[[#All],[De (Lote)]],'Input_APM (Zenith)'!F449)&gt;0,INDEX(Table2[[#All],[Para (Ticker Daniel)]],MATCH('Input_APM (Zenith)'!F449,Table2[[#All],[De (Lote)]],0)),'Input_APM (Zenith)'!F449))</f>
        <v/>
      </c>
      <c r="M449" s="209" t="str">
        <f t="shared" si="53"/>
        <v/>
      </c>
      <c r="N449" s="210" t="str">
        <f t="shared" si="54"/>
        <v/>
      </c>
      <c r="O449" s="210" t="str">
        <f t="shared" si="55"/>
        <v/>
      </c>
    </row>
    <row r="450" spans="11:15">
      <c r="K450" s="209" t="str">
        <f t="shared" si="52"/>
        <v/>
      </c>
      <c r="L450" s="209" t="str">
        <f>IF(E450="","",IF(COUNTIFS(Table2[[#All],[De (Lote)]],'Input_APM (Zenith)'!F450)&gt;0,INDEX(Table2[[#All],[Para (Ticker Daniel)]],MATCH('Input_APM (Zenith)'!F450,Table2[[#All],[De (Lote)]],0)),'Input_APM (Zenith)'!F450))</f>
        <v/>
      </c>
      <c r="M450" s="209" t="str">
        <f t="shared" si="53"/>
        <v/>
      </c>
      <c r="N450" s="210" t="str">
        <f t="shared" si="54"/>
        <v/>
      </c>
      <c r="O450" s="210" t="str">
        <f t="shared" si="55"/>
        <v/>
      </c>
    </row>
    <row r="451" spans="11:15">
      <c r="K451" s="209" t="str">
        <f t="shared" si="52"/>
        <v/>
      </c>
      <c r="L451" s="209" t="str">
        <f>IF(E451="","",IF(COUNTIFS(Table2[[#All],[De (Lote)]],'Input_APM (Zenith)'!F451)&gt;0,INDEX(Table2[[#All],[Para (Ticker Daniel)]],MATCH('Input_APM (Zenith)'!F451,Table2[[#All],[De (Lote)]],0)),'Input_APM (Zenith)'!F451))</f>
        <v/>
      </c>
      <c r="M451" s="209" t="str">
        <f t="shared" si="53"/>
        <v/>
      </c>
      <c r="N451" s="210" t="str">
        <f t="shared" si="54"/>
        <v/>
      </c>
      <c r="O451" s="210" t="str">
        <f t="shared" si="55"/>
        <v/>
      </c>
    </row>
    <row r="452" spans="11:15">
      <c r="K452" s="209" t="str">
        <f t="shared" si="52"/>
        <v/>
      </c>
      <c r="L452" s="209" t="str">
        <f>IF(E452="","",IF(COUNTIFS(Table2[[#All],[De (Lote)]],'Input_APM (Zenith)'!F452)&gt;0,INDEX(Table2[[#All],[Para (Ticker Daniel)]],MATCH('Input_APM (Zenith)'!F452,Table2[[#All],[De (Lote)]],0)),'Input_APM (Zenith)'!F452))</f>
        <v/>
      </c>
      <c r="M452" s="209" t="str">
        <f t="shared" si="53"/>
        <v/>
      </c>
      <c r="N452" s="210" t="str">
        <f t="shared" si="54"/>
        <v/>
      </c>
      <c r="O452" s="210" t="str">
        <f t="shared" si="55"/>
        <v/>
      </c>
    </row>
    <row r="453" spans="11:15">
      <c r="K453" s="209" t="str">
        <f t="shared" si="52"/>
        <v/>
      </c>
      <c r="L453" s="209" t="str">
        <f>IF(E453="","",IF(COUNTIFS(Table2[[#All],[De (Lote)]],'Input_APM (Zenith)'!F453)&gt;0,INDEX(Table2[[#All],[Para (Ticker Daniel)]],MATCH('Input_APM (Zenith)'!F453,Table2[[#All],[De (Lote)]],0)),'Input_APM (Zenith)'!F453))</f>
        <v/>
      </c>
      <c r="M453" s="209" t="str">
        <f t="shared" si="53"/>
        <v/>
      </c>
      <c r="N453" s="210" t="str">
        <f t="shared" si="54"/>
        <v/>
      </c>
      <c r="O453" s="210" t="str">
        <f t="shared" si="55"/>
        <v/>
      </c>
    </row>
    <row r="454" spans="11:15">
      <c r="K454" s="209" t="str">
        <f t="shared" si="52"/>
        <v/>
      </c>
      <c r="L454" s="209" t="str">
        <f>IF(E454="","",IF(COUNTIFS(Table2[[#All],[De (Lote)]],'Input_APM (Zenith)'!F454)&gt;0,INDEX(Table2[[#All],[Para (Ticker Daniel)]],MATCH('Input_APM (Zenith)'!F454,Table2[[#All],[De (Lote)]],0)),'Input_APM (Zenith)'!F454))</f>
        <v/>
      </c>
      <c r="M454" s="209" t="str">
        <f t="shared" si="53"/>
        <v/>
      </c>
      <c r="N454" s="210" t="str">
        <f t="shared" si="54"/>
        <v/>
      </c>
      <c r="O454" s="210" t="str">
        <f t="shared" si="55"/>
        <v/>
      </c>
    </row>
    <row r="455" spans="11:15">
      <c r="K455" s="209" t="str">
        <f t="shared" si="52"/>
        <v/>
      </c>
      <c r="L455" s="209" t="str">
        <f>IF(E455="","",IF(COUNTIFS(Table2[[#All],[De (Lote)]],'Input_APM (Zenith)'!F455)&gt;0,INDEX(Table2[[#All],[Para (Ticker Daniel)]],MATCH('Input_APM (Zenith)'!F455,Table2[[#All],[De (Lote)]],0)),'Input_APM (Zenith)'!F455))</f>
        <v/>
      </c>
      <c r="M455" s="209" t="str">
        <f t="shared" si="53"/>
        <v/>
      </c>
      <c r="N455" s="210" t="str">
        <f t="shared" si="54"/>
        <v/>
      </c>
      <c r="O455" s="210" t="str">
        <f t="shared" si="55"/>
        <v/>
      </c>
    </row>
    <row r="456" spans="11:15">
      <c r="K456" s="209" t="str">
        <f t="shared" si="52"/>
        <v/>
      </c>
      <c r="L456" s="209" t="str">
        <f>IF(E456="","",IF(COUNTIFS(Table2[[#All],[De (Lote)]],'Input_APM (Zenith)'!F456)&gt;0,INDEX(Table2[[#All],[Para (Ticker Daniel)]],MATCH('Input_APM (Zenith)'!F456,Table2[[#All],[De (Lote)]],0)),'Input_APM (Zenith)'!F456))</f>
        <v/>
      </c>
      <c r="M456" s="209" t="str">
        <f t="shared" si="53"/>
        <v/>
      </c>
      <c r="N456" s="210" t="str">
        <f t="shared" si="54"/>
        <v/>
      </c>
      <c r="O456" s="210" t="str">
        <f t="shared" si="55"/>
        <v/>
      </c>
    </row>
    <row r="457" spans="11:15">
      <c r="K457" s="209" t="str">
        <f t="shared" si="52"/>
        <v/>
      </c>
      <c r="L457" s="209" t="str">
        <f>IF(E457="","",IF(COUNTIFS(Table2[[#All],[De (Lote)]],'Input_APM (Zenith)'!F457)&gt;0,INDEX(Table2[[#All],[Para (Ticker Daniel)]],MATCH('Input_APM (Zenith)'!F457,Table2[[#All],[De (Lote)]],0)),'Input_APM (Zenith)'!F457))</f>
        <v/>
      </c>
      <c r="M457" s="209" t="str">
        <f t="shared" si="53"/>
        <v/>
      </c>
      <c r="N457" s="210" t="str">
        <f t="shared" si="54"/>
        <v/>
      </c>
      <c r="O457" s="210" t="str">
        <f t="shared" si="55"/>
        <v/>
      </c>
    </row>
    <row r="458" spans="11:15">
      <c r="K458" s="209" t="str">
        <f t="shared" si="52"/>
        <v/>
      </c>
      <c r="L458" s="209" t="str">
        <f>IF(E458="","",IF(COUNTIFS(Table2[[#All],[De (Lote)]],'Input_APM (Zenith)'!F458)&gt;0,INDEX(Table2[[#All],[Para (Ticker Daniel)]],MATCH('Input_APM (Zenith)'!F458,Table2[[#All],[De (Lote)]],0)),'Input_APM (Zenith)'!F458))</f>
        <v/>
      </c>
      <c r="M458" s="209" t="str">
        <f t="shared" si="53"/>
        <v/>
      </c>
      <c r="N458" s="210" t="str">
        <f t="shared" si="54"/>
        <v/>
      </c>
      <c r="O458" s="210" t="str">
        <f t="shared" si="55"/>
        <v/>
      </c>
    </row>
    <row r="459" spans="11:15">
      <c r="K459" s="209" t="str">
        <f t="shared" si="52"/>
        <v/>
      </c>
      <c r="L459" s="209" t="str">
        <f>IF(E459="","",IF(COUNTIFS(Table2[[#All],[De (Lote)]],'Input_APM (Zenith)'!F459)&gt;0,INDEX(Table2[[#All],[Para (Ticker Daniel)]],MATCH('Input_APM (Zenith)'!F459,Table2[[#All],[De (Lote)]],0)),'Input_APM (Zenith)'!F459))</f>
        <v/>
      </c>
      <c r="M459" s="209" t="str">
        <f t="shared" si="53"/>
        <v/>
      </c>
      <c r="N459" s="210" t="str">
        <f t="shared" si="54"/>
        <v/>
      </c>
      <c r="O459" s="210" t="str">
        <f t="shared" si="55"/>
        <v/>
      </c>
    </row>
    <row r="460" spans="11:15">
      <c r="K460" s="209" t="str">
        <f t="shared" si="52"/>
        <v/>
      </c>
      <c r="L460" s="209" t="str">
        <f>IF(E460="","",IF(COUNTIFS(Table2[[#All],[De (Lote)]],'Input_APM (Zenith)'!F460)&gt;0,INDEX(Table2[[#All],[Para (Ticker Daniel)]],MATCH('Input_APM (Zenith)'!F460,Table2[[#All],[De (Lote)]],0)),'Input_APM (Zenith)'!F460))</f>
        <v/>
      </c>
      <c r="M460" s="209" t="str">
        <f t="shared" si="53"/>
        <v/>
      </c>
      <c r="N460" s="210" t="str">
        <f t="shared" si="54"/>
        <v/>
      </c>
      <c r="O460" s="210" t="str">
        <f t="shared" si="55"/>
        <v/>
      </c>
    </row>
    <row r="461" spans="11:15">
      <c r="K461" s="209" t="str">
        <f t="shared" si="52"/>
        <v/>
      </c>
      <c r="L461" s="209" t="str">
        <f>IF(E461="","",IF(COUNTIFS(Table2[[#All],[De (Lote)]],'Input_APM (Zenith)'!F461)&gt;0,INDEX(Table2[[#All],[Para (Ticker Daniel)]],MATCH('Input_APM (Zenith)'!F461,Table2[[#All],[De (Lote)]],0)),'Input_APM (Zenith)'!F461))</f>
        <v/>
      </c>
      <c r="M461" s="209" t="str">
        <f t="shared" si="53"/>
        <v/>
      </c>
      <c r="N461" s="210" t="str">
        <f t="shared" si="54"/>
        <v/>
      </c>
      <c r="O461" s="210" t="str">
        <f t="shared" si="55"/>
        <v/>
      </c>
    </row>
    <row r="462" spans="11:15">
      <c r="K462" s="209" t="str">
        <f t="shared" si="52"/>
        <v/>
      </c>
      <c r="L462" s="209" t="str">
        <f>IF(E462="","",IF(COUNTIFS(Table2[[#All],[De (Lote)]],'Input_APM (Zenith)'!F462)&gt;0,INDEX(Table2[[#All],[Para (Ticker Daniel)]],MATCH('Input_APM (Zenith)'!F462,Table2[[#All],[De (Lote)]],0)),'Input_APM (Zenith)'!F462))</f>
        <v/>
      </c>
      <c r="M462" s="209" t="str">
        <f t="shared" si="53"/>
        <v/>
      </c>
      <c r="N462" s="210" t="str">
        <f t="shared" si="54"/>
        <v/>
      </c>
      <c r="O462" s="210" t="str">
        <f t="shared" si="55"/>
        <v/>
      </c>
    </row>
    <row r="463" spans="11:15">
      <c r="K463" s="209" t="str">
        <f t="shared" si="52"/>
        <v/>
      </c>
      <c r="L463" s="209" t="str">
        <f>IF(E463="","",IF(COUNTIFS(Table2[[#All],[De (Lote)]],'Input_APM (Zenith)'!F463)&gt;0,INDEX(Table2[[#All],[Para (Ticker Daniel)]],MATCH('Input_APM (Zenith)'!F463,Table2[[#All],[De (Lote)]],0)),'Input_APM (Zenith)'!F463))</f>
        <v/>
      </c>
      <c r="M463" s="209" t="str">
        <f t="shared" si="53"/>
        <v/>
      </c>
      <c r="N463" s="210" t="str">
        <f t="shared" si="54"/>
        <v/>
      </c>
      <c r="O463" s="210" t="str">
        <f t="shared" si="55"/>
        <v/>
      </c>
    </row>
    <row r="464" spans="11:15">
      <c r="K464" s="209" t="str">
        <f t="shared" si="52"/>
        <v/>
      </c>
      <c r="L464" s="209" t="str">
        <f>IF(E464="","",IF(COUNTIFS(Table2[[#All],[De (Lote)]],'Input_APM (Zenith)'!F464)&gt;0,INDEX(Table2[[#All],[Para (Ticker Daniel)]],MATCH('Input_APM (Zenith)'!F464,Table2[[#All],[De (Lote)]],0)),'Input_APM (Zenith)'!F464))</f>
        <v/>
      </c>
      <c r="M464" s="209" t="str">
        <f t="shared" si="53"/>
        <v/>
      </c>
      <c r="N464" s="210" t="str">
        <f t="shared" si="54"/>
        <v/>
      </c>
      <c r="O464" s="210" t="str">
        <f t="shared" si="55"/>
        <v/>
      </c>
    </row>
    <row r="465" spans="11:15">
      <c r="K465" s="209" t="str">
        <f t="shared" si="52"/>
        <v/>
      </c>
      <c r="L465" s="209" t="str">
        <f>IF(E465="","",IF(COUNTIFS(Table2[[#All],[De (Lote)]],'Input_APM (Zenith)'!F465)&gt;0,INDEX(Table2[[#All],[Para (Ticker Daniel)]],MATCH('Input_APM (Zenith)'!F465,Table2[[#All],[De (Lote)]],0)),'Input_APM (Zenith)'!F465))</f>
        <v/>
      </c>
      <c r="M465" s="209" t="str">
        <f t="shared" si="53"/>
        <v/>
      </c>
      <c r="N465" s="210" t="str">
        <f t="shared" si="54"/>
        <v/>
      </c>
      <c r="O465" s="210" t="str">
        <f t="shared" si="55"/>
        <v/>
      </c>
    </row>
    <row r="466" spans="11:15">
      <c r="K466" s="209" t="str">
        <f t="shared" si="52"/>
        <v/>
      </c>
      <c r="L466" s="209" t="str">
        <f>IF(E466="","",IF(COUNTIFS(Table2[[#All],[De (Lote)]],'Input_APM (Zenith)'!F466)&gt;0,INDEX(Table2[[#All],[Para (Ticker Daniel)]],MATCH('Input_APM (Zenith)'!F466,Table2[[#All],[De (Lote)]],0)),'Input_APM (Zenith)'!F466))</f>
        <v/>
      </c>
      <c r="M466" s="209" t="str">
        <f t="shared" si="53"/>
        <v/>
      </c>
      <c r="N466" s="210" t="str">
        <f t="shared" si="54"/>
        <v/>
      </c>
      <c r="O466" s="210" t="str">
        <f t="shared" si="55"/>
        <v/>
      </c>
    </row>
    <row r="467" spans="11:15">
      <c r="K467" s="209" t="str">
        <f t="shared" si="52"/>
        <v/>
      </c>
      <c r="L467" s="209" t="str">
        <f>IF(E467="","",IF(COUNTIFS(Table2[[#All],[De (Lote)]],'Input_APM (Zenith)'!F467)&gt;0,INDEX(Table2[[#All],[Para (Ticker Daniel)]],MATCH('Input_APM (Zenith)'!F467,Table2[[#All],[De (Lote)]],0)),'Input_APM (Zenith)'!F467))</f>
        <v/>
      </c>
      <c r="M467" s="209" t="str">
        <f t="shared" si="53"/>
        <v/>
      </c>
      <c r="N467" s="210" t="str">
        <f t="shared" si="54"/>
        <v/>
      </c>
      <c r="O467" s="210" t="str">
        <f t="shared" si="55"/>
        <v/>
      </c>
    </row>
    <row r="468" spans="11:15">
      <c r="K468" s="209" t="str">
        <f t="shared" si="52"/>
        <v/>
      </c>
      <c r="L468" s="209" t="str">
        <f>IF(E468="","",IF(COUNTIFS(Table2[[#All],[De (Lote)]],'Input_APM (Zenith)'!F468)&gt;0,INDEX(Table2[[#All],[Para (Ticker Daniel)]],MATCH('Input_APM (Zenith)'!F468,Table2[[#All],[De (Lote)]],0)),'Input_APM (Zenith)'!F468))</f>
        <v/>
      </c>
      <c r="M468" s="209" t="str">
        <f t="shared" si="53"/>
        <v/>
      </c>
      <c r="N468" s="210" t="str">
        <f t="shared" si="54"/>
        <v/>
      </c>
      <c r="O468" s="210" t="str">
        <f t="shared" si="55"/>
        <v/>
      </c>
    </row>
    <row r="469" spans="11:15">
      <c r="K469" s="209" t="str">
        <f t="shared" si="52"/>
        <v/>
      </c>
      <c r="L469" s="209" t="str">
        <f>IF(E469="","",IF(COUNTIFS(Table2[[#All],[De (Lote)]],'Input_APM (Zenith)'!F469)&gt;0,INDEX(Table2[[#All],[Para (Ticker Daniel)]],MATCH('Input_APM (Zenith)'!F469,Table2[[#All],[De (Lote)]],0)),'Input_APM (Zenith)'!F469))</f>
        <v/>
      </c>
      <c r="M469" s="209" t="str">
        <f t="shared" si="53"/>
        <v/>
      </c>
      <c r="N469" s="210" t="str">
        <f t="shared" si="54"/>
        <v/>
      </c>
      <c r="O469" s="210" t="str">
        <f t="shared" si="55"/>
        <v/>
      </c>
    </row>
    <row r="470" spans="11:15">
      <c r="K470" s="209" t="str">
        <f t="shared" si="52"/>
        <v/>
      </c>
      <c r="L470" s="209" t="str">
        <f>IF(E470="","",IF(COUNTIFS(Table2[[#All],[De (Lote)]],'Input_APM (Zenith)'!F470)&gt;0,INDEX(Table2[[#All],[Para (Ticker Daniel)]],MATCH('Input_APM (Zenith)'!F470,Table2[[#All],[De (Lote)]],0)),'Input_APM (Zenith)'!F470))</f>
        <v/>
      </c>
      <c r="M470" s="209" t="str">
        <f t="shared" si="53"/>
        <v/>
      </c>
      <c r="N470" s="210" t="str">
        <f t="shared" si="54"/>
        <v/>
      </c>
      <c r="O470" s="210" t="str">
        <f t="shared" si="55"/>
        <v/>
      </c>
    </row>
    <row r="471" spans="11:15">
      <c r="K471" s="209" t="str">
        <f t="shared" si="52"/>
        <v/>
      </c>
      <c r="L471" s="209" t="str">
        <f>IF(E471="","",IF(COUNTIFS(Table2[[#All],[De (Lote)]],'Input_APM (Zenith)'!F471)&gt;0,INDEX(Table2[[#All],[Para (Ticker Daniel)]],MATCH('Input_APM (Zenith)'!F471,Table2[[#All],[De (Lote)]],0)),'Input_APM (Zenith)'!F471))</f>
        <v/>
      </c>
      <c r="M471" s="209" t="str">
        <f t="shared" si="53"/>
        <v/>
      </c>
      <c r="N471" s="210" t="str">
        <f t="shared" si="54"/>
        <v/>
      </c>
      <c r="O471" s="210" t="str">
        <f t="shared" si="55"/>
        <v/>
      </c>
    </row>
    <row r="472" spans="11:15">
      <c r="K472" s="209" t="str">
        <f t="shared" si="52"/>
        <v/>
      </c>
      <c r="L472" s="209" t="str">
        <f>IF(E472="","",IF(COUNTIFS(Table2[[#All],[De (Lote)]],'Input_APM (Zenith)'!F472)&gt;0,INDEX(Table2[[#All],[Para (Ticker Daniel)]],MATCH('Input_APM (Zenith)'!F472,Table2[[#All],[De (Lote)]],0)),'Input_APM (Zenith)'!F472))</f>
        <v/>
      </c>
      <c r="M472" s="209" t="str">
        <f t="shared" si="53"/>
        <v/>
      </c>
      <c r="N472" s="210" t="str">
        <f t="shared" si="54"/>
        <v/>
      </c>
      <c r="O472" s="210" t="str">
        <f t="shared" si="55"/>
        <v/>
      </c>
    </row>
    <row r="473" spans="11:15">
      <c r="K473" s="209" t="str">
        <f t="shared" si="52"/>
        <v/>
      </c>
      <c r="L473" s="209" t="str">
        <f>IF(E473="","",IF(COUNTIFS(Table2[[#All],[De (Lote)]],'Input_APM (Zenith)'!F473)&gt;0,INDEX(Table2[[#All],[Para (Ticker Daniel)]],MATCH('Input_APM (Zenith)'!F473,Table2[[#All],[De (Lote)]],0)),'Input_APM (Zenith)'!F473))</f>
        <v/>
      </c>
      <c r="M473" s="209" t="str">
        <f t="shared" si="53"/>
        <v/>
      </c>
      <c r="N473" s="210" t="str">
        <f t="shared" si="54"/>
        <v/>
      </c>
      <c r="O473" s="210" t="str">
        <f t="shared" si="55"/>
        <v/>
      </c>
    </row>
    <row r="474" spans="11:15">
      <c r="K474" s="209" t="str">
        <f t="shared" si="52"/>
        <v/>
      </c>
      <c r="L474" s="209" t="str">
        <f>IF(E474="","",IF(COUNTIFS(Table2[[#All],[De (Lote)]],'Input_APM (Zenith)'!F474)&gt;0,INDEX(Table2[[#All],[Para (Ticker Daniel)]],MATCH('Input_APM (Zenith)'!F474,Table2[[#All],[De (Lote)]],0)),'Input_APM (Zenith)'!F474))</f>
        <v/>
      </c>
      <c r="M474" s="209" t="str">
        <f t="shared" si="53"/>
        <v/>
      </c>
      <c r="N474" s="210" t="str">
        <f t="shared" si="54"/>
        <v/>
      </c>
      <c r="O474" s="210" t="str">
        <f t="shared" si="55"/>
        <v/>
      </c>
    </row>
    <row r="475" spans="11:15">
      <c r="K475" s="209" t="str">
        <f t="shared" si="52"/>
        <v/>
      </c>
      <c r="L475" s="209" t="str">
        <f>IF(E475="","",IF(COUNTIFS(Table2[[#All],[De (Lote)]],'Input_APM (Zenith)'!F475)&gt;0,INDEX(Table2[[#All],[Para (Ticker Daniel)]],MATCH('Input_APM (Zenith)'!F475,Table2[[#All],[De (Lote)]],0)),'Input_APM (Zenith)'!F475))</f>
        <v/>
      </c>
      <c r="M475" s="209" t="str">
        <f t="shared" si="53"/>
        <v/>
      </c>
      <c r="N475" s="210" t="str">
        <f t="shared" si="54"/>
        <v/>
      </c>
      <c r="O475" s="210" t="str">
        <f t="shared" si="55"/>
        <v/>
      </c>
    </row>
    <row r="476" spans="11:15">
      <c r="K476" s="209" t="str">
        <f t="shared" si="52"/>
        <v/>
      </c>
      <c r="L476" s="209" t="str">
        <f>IF(E476="","",IF(COUNTIFS(Table2[[#All],[De (Lote)]],'Input_APM (Zenith)'!F476)&gt;0,INDEX(Table2[[#All],[Para (Ticker Daniel)]],MATCH('Input_APM (Zenith)'!F476,Table2[[#All],[De (Lote)]],0)),'Input_APM (Zenith)'!F476))</f>
        <v/>
      </c>
      <c r="M476" s="209" t="str">
        <f t="shared" si="53"/>
        <v/>
      </c>
      <c r="N476" s="210" t="str">
        <f t="shared" si="54"/>
        <v/>
      </c>
      <c r="O476" s="210" t="str">
        <f t="shared" si="55"/>
        <v/>
      </c>
    </row>
    <row r="477" spans="11:15">
      <c r="K477" s="209" t="str">
        <f t="shared" si="52"/>
        <v/>
      </c>
      <c r="L477" s="209" t="str">
        <f>IF(E477="","",IF(COUNTIFS(Table2[[#All],[De (Lote)]],'Input_APM (Zenith)'!F477)&gt;0,INDEX(Table2[[#All],[Para (Ticker Daniel)]],MATCH('Input_APM (Zenith)'!F477,Table2[[#All],[De (Lote)]],0)),'Input_APM (Zenith)'!F477))</f>
        <v/>
      </c>
      <c r="M477" s="209" t="str">
        <f t="shared" si="53"/>
        <v/>
      </c>
      <c r="N477" s="210" t="str">
        <f t="shared" si="54"/>
        <v/>
      </c>
      <c r="O477" s="210" t="str">
        <f t="shared" si="55"/>
        <v/>
      </c>
    </row>
    <row r="478" spans="11:15">
      <c r="K478" s="209" t="str">
        <f t="shared" si="52"/>
        <v/>
      </c>
      <c r="L478" s="209" t="str">
        <f>IF(E478="","",IF(COUNTIFS(Table2[[#All],[De (Lote)]],'Input_APM (Zenith)'!F478)&gt;0,INDEX(Table2[[#All],[Para (Ticker Daniel)]],MATCH('Input_APM (Zenith)'!F478,Table2[[#All],[De (Lote)]],0)),'Input_APM (Zenith)'!F478))</f>
        <v/>
      </c>
      <c r="M478" s="209" t="str">
        <f t="shared" si="53"/>
        <v/>
      </c>
      <c r="N478" s="210" t="str">
        <f t="shared" si="54"/>
        <v/>
      </c>
      <c r="O478" s="210" t="str">
        <f t="shared" si="55"/>
        <v/>
      </c>
    </row>
    <row r="479" spans="11:15">
      <c r="K479" s="209" t="str">
        <f t="shared" si="52"/>
        <v/>
      </c>
      <c r="L479" s="209" t="str">
        <f>IF(E479="","",IF(COUNTIFS(Table2[[#All],[De (Lote)]],'Input_APM (Zenith)'!F479)&gt;0,INDEX(Table2[[#All],[Para (Ticker Daniel)]],MATCH('Input_APM (Zenith)'!F479,Table2[[#All],[De (Lote)]],0)),'Input_APM (Zenith)'!F479))</f>
        <v/>
      </c>
      <c r="M479" s="209" t="str">
        <f t="shared" si="53"/>
        <v/>
      </c>
      <c r="N479" s="210" t="str">
        <f t="shared" si="54"/>
        <v/>
      </c>
      <c r="O479" s="210" t="str">
        <f t="shared" si="55"/>
        <v/>
      </c>
    </row>
    <row r="480" spans="11:15">
      <c r="K480" s="209" t="str">
        <f t="shared" si="52"/>
        <v/>
      </c>
      <c r="L480" s="209" t="str">
        <f>IF(E480="","",IF(COUNTIFS(Table2[[#All],[De (Lote)]],'Input_APM (Zenith)'!F480)&gt;0,INDEX(Table2[[#All],[Para (Ticker Daniel)]],MATCH('Input_APM (Zenith)'!F480,Table2[[#All],[De (Lote)]],0)),'Input_APM (Zenith)'!F480))</f>
        <v/>
      </c>
      <c r="M480" s="209" t="str">
        <f t="shared" si="53"/>
        <v/>
      </c>
      <c r="N480" s="210" t="str">
        <f t="shared" si="54"/>
        <v/>
      </c>
      <c r="O480" s="210" t="str">
        <f t="shared" si="55"/>
        <v/>
      </c>
    </row>
    <row r="481" spans="11:15">
      <c r="K481" s="209" t="str">
        <f t="shared" si="52"/>
        <v/>
      </c>
      <c r="L481" s="209" t="str">
        <f>IF(E481="","",IF(COUNTIFS(Table2[[#All],[De (Lote)]],'Input_APM (Zenith)'!F481)&gt;0,INDEX(Table2[[#All],[Para (Ticker Daniel)]],MATCH('Input_APM (Zenith)'!F481,Table2[[#All],[De (Lote)]],0)),'Input_APM (Zenith)'!F481))</f>
        <v/>
      </c>
      <c r="M481" s="209" t="str">
        <f t="shared" si="53"/>
        <v/>
      </c>
      <c r="N481" s="210" t="str">
        <f t="shared" si="54"/>
        <v/>
      </c>
      <c r="O481" s="210" t="str">
        <f t="shared" si="55"/>
        <v/>
      </c>
    </row>
    <row r="482" spans="11:15">
      <c r="K482" s="209" t="str">
        <f t="shared" si="52"/>
        <v/>
      </c>
      <c r="L482" s="209" t="str">
        <f>IF(E482="","",IF(COUNTIFS(Table2[[#All],[De (Lote)]],'Input_APM (Zenith)'!F482)&gt;0,INDEX(Table2[[#All],[Para (Ticker Daniel)]],MATCH('Input_APM (Zenith)'!F482,Table2[[#All],[De (Lote)]],0)),'Input_APM (Zenith)'!F482))</f>
        <v/>
      </c>
      <c r="M482" s="209" t="str">
        <f t="shared" si="53"/>
        <v/>
      </c>
      <c r="N482" s="210" t="str">
        <f t="shared" si="54"/>
        <v/>
      </c>
      <c r="O482" s="210" t="str">
        <f t="shared" si="55"/>
        <v/>
      </c>
    </row>
    <row r="483" spans="11:15">
      <c r="K483" s="209" t="str">
        <f t="shared" si="52"/>
        <v/>
      </c>
      <c r="L483" s="209" t="str">
        <f>IF(E483="","",IF(COUNTIFS(Table2[[#All],[De (Lote)]],'Input_APM (Zenith)'!F483)&gt;0,INDEX(Table2[[#All],[Para (Ticker Daniel)]],MATCH('Input_APM (Zenith)'!F483,Table2[[#All],[De (Lote)]],0)),'Input_APM (Zenith)'!F483))</f>
        <v/>
      </c>
      <c r="M483" s="209" t="str">
        <f t="shared" si="53"/>
        <v/>
      </c>
      <c r="N483" s="210" t="str">
        <f t="shared" si="54"/>
        <v/>
      </c>
      <c r="O483" s="210" t="str">
        <f t="shared" si="55"/>
        <v/>
      </c>
    </row>
    <row r="484" spans="11:15">
      <c r="K484" s="209" t="str">
        <f t="shared" si="52"/>
        <v/>
      </c>
      <c r="L484" s="209" t="str">
        <f>IF(E484="","",IF(COUNTIFS(Table2[[#All],[De (Lote)]],'Input_APM (Zenith)'!F484)&gt;0,INDEX(Table2[[#All],[Para (Ticker Daniel)]],MATCH('Input_APM (Zenith)'!F484,Table2[[#All],[De (Lote)]],0)),'Input_APM (Zenith)'!F484))</f>
        <v/>
      </c>
      <c r="M484" s="209" t="str">
        <f t="shared" si="53"/>
        <v/>
      </c>
      <c r="N484" s="210" t="str">
        <f t="shared" si="54"/>
        <v/>
      </c>
      <c r="O484" s="210" t="str">
        <f t="shared" si="55"/>
        <v/>
      </c>
    </row>
    <row r="485" spans="11:15">
      <c r="K485" s="209" t="str">
        <f t="shared" si="52"/>
        <v/>
      </c>
      <c r="L485" s="209" t="str">
        <f>IF(E485="","",IF(COUNTIFS(Table2[[#All],[De (Lote)]],'Input_APM (Zenith)'!F485)&gt;0,INDEX(Table2[[#All],[Para (Ticker Daniel)]],MATCH('Input_APM (Zenith)'!F485,Table2[[#All],[De (Lote)]],0)),'Input_APM (Zenith)'!F485))</f>
        <v/>
      </c>
      <c r="M485" s="209" t="str">
        <f t="shared" si="53"/>
        <v/>
      </c>
      <c r="N485" s="210" t="str">
        <f t="shared" si="54"/>
        <v/>
      </c>
      <c r="O485" s="210" t="str">
        <f t="shared" si="55"/>
        <v/>
      </c>
    </row>
    <row r="486" spans="11:15">
      <c r="K486" s="209" t="str">
        <f t="shared" ref="K486:K512" si="56">IF(E486="","",E486)</f>
        <v/>
      </c>
      <c r="L486" s="209" t="str">
        <f>IF(E486="","",IF(COUNTIFS(Table2[[#All],[De (Lote)]],'Input_APM (Zenith)'!F486)&gt;0,INDEX(Table2[[#All],[Para (Ticker Daniel)]],MATCH('Input_APM (Zenith)'!F486,Table2[[#All],[De (Lote)]],0)),'Input_APM (Zenith)'!F486))</f>
        <v/>
      </c>
      <c r="M486" s="209" t="str">
        <f t="shared" ref="M486:M512" si="57">IF(E486="","",G486)</f>
        <v/>
      </c>
      <c r="N486" s="210" t="str">
        <f t="shared" ref="N486:N512" si="58">IF(E486="","",H486)</f>
        <v/>
      </c>
      <c r="O486" s="210" t="str">
        <f t="shared" ref="O486:O512" si="59">IF(E486="","",I486)</f>
        <v/>
      </c>
    </row>
    <row r="487" spans="11:15">
      <c r="K487" s="209" t="str">
        <f t="shared" si="56"/>
        <v/>
      </c>
      <c r="L487" s="209" t="str">
        <f>IF(E487="","",IF(COUNTIFS(Table2[[#All],[De (Lote)]],'Input_APM (Zenith)'!F487)&gt;0,INDEX(Table2[[#All],[Para (Ticker Daniel)]],MATCH('Input_APM (Zenith)'!F487,Table2[[#All],[De (Lote)]],0)),'Input_APM (Zenith)'!F487))</f>
        <v/>
      </c>
      <c r="M487" s="209" t="str">
        <f t="shared" si="57"/>
        <v/>
      </c>
      <c r="N487" s="210" t="str">
        <f t="shared" si="58"/>
        <v/>
      </c>
      <c r="O487" s="210" t="str">
        <f t="shared" si="59"/>
        <v/>
      </c>
    </row>
    <row r="488" spans="11:15">
      <c r="K488" s="209" t="str">
        <f t="shared" si="56"/>
        <v/>
      </c>
      <c r="L488" s="209" t="str">
        <f>IF(E488="","",IF(COUNTIFS(Table2[[#All],[De (Lote)]],'Input_APM (Zenith)'!F488)&gt;0,INDEX(Table2[[#All],[Para (Ticker Daniel)]],MATCH('Input_APM (Zenith)'!F488,Table2[[#All],[De (Lote)]],0)),'Input_APM (Zenith)'!F488))</f>
        <v/>
      </c>
      <c r="M488" s="209" t="str">
        <f t="shared" si="57"/>
        <v/>
      </c>
      <c r="N488" s="210" t="str">
        <f t="shared" si="58"/>
        <v/>
      </c>
      <c r="O488" s="210" t="str">
        <f t="shared" si="59"/>
        <v/>
      </c>
    </row>
    <row r="489" spans="11:15">
      <c r="K489" s="209" t="str">
        <f t="shared" si="56"/>
        <v/>
      </c>
      <c r="L489" s="209" t="str">
        <f>IF(E489="","",IF(COUNTIFS(Table2[[#All],[De (Lote)]],'Input_APM (Zenith)'!F489)&gt;0,INDEX(Table2[[#All],[Para (Ticker Daniel)]],MATCH('Input_APM (Zenith)'!F489,Table2[[#All],[De (Lote)]],0)),'Input_APM (Zenith)'!F489))</f>
        <v/>
      </c>
      <c r="M489" s="209" t="str">
        <f t="shared" si="57"/>
        <v/>
      </c>
      <c r="N489" s="210" t="str">
        <f t="shared" si="58"/>
        <v/>
      </c>
      <c r="O489" s="210" t="str">
        <f t="shared" si="59"/>
        <v/>
      </c>
    </row>
    <row r="490" spans="11:15">
      <c r="K490" s="209" t="str">
        <f t="shared" si="56"/>
        <v/>
      </c>
      <c r="L490" s="209" t="str">
        <f>IF(E490="","",IF(COUNTIFS(Table2[[#All],[De (Lote)]],'Input_APM (Zenith)'!F490)&gt;0,INDEX(Table2[[#All],[Para (Ticker Daniel)]],MATCH('Input_APM (Zenith)'!F490,Table2[[#All],[De (Lote)]],0)),'Input_APM (Zenith)'!F490))</f>
        <v/>
      </c>
      <c r="M490" s="209" t="str">
        <f t="shared" si="57"/>
        <v/>
      </c>
      <c r="N490" s="210" t="str">
        <f t="shared" si="58"/>
        <v/>
      </c>
      <c r="O490" s="210" t="str">
        <f t="shared" si="59"/>
        <v/>
      </c>
    </row>
    <row r="491" spans="11:15">
      <c r="K491" s="209" t="str">
        <f t="shared" si="56"/>
        <v/>
      </c>
      <c r="L491" s="209" t="str">
        <f>IF(E491="","",IF(COUNTIFS(Table2[[#All],[De (Lote)]],'Input_APM (Zenith)'!F491)&gt;0,INDEX(Table2[[#All],[Para (Ticker Daniel)]],MATCH('Input_APM (Zenith)'!F491,Table2[[#All],[De (Lote)]],0)),'Input_APM (Zenith)'!F491))</f>
        <v/>
      </c>
      <c r="M491" s="209" t="str">
        <f t="shared" si="57"/>
        <v/>
      </c>
      <c r="N491" s="210" t="str">
        <f t="shared" si="58"/>
        <v/>
      </c>
      <c r="O491" s="210" t="str">
        <f t="shared" si="59"/>
        <v/>
      </c>
    </row>
    <row r="492" spans="11:15">
      <c r="K492" s="209" t="str">
        <f t="shared" si="56"/>
        <v/>
      </c>
      <c r="L492" s="209" t="str">
        <f>IF(E492="","",IF(COUNTIFS(Table2[[#All],[De (Lote)]],'Input_APM (Zenith)'!F492)&gt;0,INDEX(Table2[[#All],[Para (Ticker Daniel)]],MATCH('Input_APM (Zenith)'!F492,Table2[[#All],[De (Lote)]],0)),'Input_APM (Zenith)'!F492))</f>
        <v/>
      </c>
      <c r="M492" s="209" t="str">
        <f t="shared" si="57"/>
        <v/>
      </c>
      <c r="N492" s="210" t="str">
        <f t="shared" si="58"/>
        <v/>
      </c>
      <c r="O492" s="210" t="str">
        <f t="shared" si="59"/>
        <v/>
      </c>
    </row>
    <row r="493" spans="11:15">
      <c r="K493" s="209" t="str">
        <f t="shared" si="56"/>
        <v/>
      </c>
      <c r="L493" s="209" t="str">
        <f>IF(E493="","",IF(COUNTIFS(Table2[[#All],[De (Lote)]],'Input_APM (Zenith)'!F493)&gt;0,INDEX(Table2[[#All],[Para (Ticker Daniel)]],MATCH('Input_APM (Zenith)'!F493,Table2[[#All],[De (Lote)]],0)),'Input_APM (Zenith)'!F493))</f>
        <v/>
      </c>
      <c r="M493" s="209" t="str">
        <f t="shared" si="57"/>
        <v/>
      </c>
      <c r="N493" s="210" t="str">
        <f t="shared" si="58"/>
        <v/>
      </c>
      <c r="O493" s="210" t="str">
        <f t="shared" si="59"/>
        <v/>
      </c>
    </row>
    <row r="494" spans="11:15">
      <c r="K494" s="209" t="str">
        <f t="shared" si="56"/>
        <v/>
      </c>
      <c r="L494" s="209" t="str">
        <f>IF(E494="","",IF(COUNTIFS(Table2[[#All],[De (Lote)]],'Input_APM (Zenith)'!F494)&gt;0,INDEX(Table2[[#All],[Para (Ticker Daniel)]],MATCH('Input_APM (Zenith)'!F494,Table2[[#All],[De (Lote)]],0)),'Input_APM (Zenith)'!F494))</f>
        <v/>
      </c>
      <c r="M494" s="209" t="str">
        <f t="shared" si="57"/>
        <v/>
      </c>
      <c r="N494" s="210" t="str">
        <f t="shared" si="58"/>
        <v/>
      </c>
      <c r="O494" s="210" t="str">
        <f t="shared" si="59"/>
        <v/>
      </c>
    </row>
    <row r="495" spans="11:15">
      <c r="K495" s="209" t="str">
        <f t="shared" si="56"/>
        <v/>
      </c>
      <c r="L495" s="209" t="str">
        <f>IF(E495="","",IF(COUNTIFS(Table2[[#All],[De (Lote)]],'Input_APM (Zenith)'!F495)&gt;0,INDEX(Table2[[#All],[Para (Ticker Daniel)]],MATCH('Input_APM (Zenith)'!F495,Table2[[#All],[De (Lote)]],0)),'Input_APM (Zenith)'!F495))</f>
        <v/>
      </c>
      <c r="M495" s="209" t="str">
        <f t="shared" si="57"/>
        <v/>
      </c>
      <c r="N495" s="210" t="str">
        <f t="shared" si="58"/>
        <v/>
      </c>
      <c r="O495" s="210" t="str">
        <f t="shared" si="59"/>
        <v/>
      </c>
    </row>
    <row r="496" spans="11:15">
      <c r="K496" s="209" t="str">
        <f t="shared" si="56"/>
        <v/>
      </c>
      <c r="L496" s="209" t="str">
        <f>IF(E496="","",IF(COUNTIFS(Table2[[#All],[De (Lote)]],'Input_APM (Zenith)'!F496)&gt;0,INDEX(Table2[[#All],[Para (Ticker Daniel)]],MATCH('Input_APM (Zenith)'!F496,Table2[[#All],[De (Lote)]],0)),'Input_APM (Zenith)'!F496))</f>
        <v/>
      </c>
      <c r="M496" s="209" t="str">
        <f t="shared" si="57"/>
        <v/>
      </c>
      <c r="N496" s="210" t="str">
        <f t="shared" si="58"/>
        <v/>
      </c>
      <c r="O496" s="210" t="str">
        <f t="shared" si="59"/>
        <v/>
      </c>
    </row>
    <row r="497" spans="11:15">
      <c r="K497" s="209" t="str">
        <f t="shared" si="56"/>
        <v/>
      </c>
      <c r="L497" s="209" t="str">
        <f>IF(E497="","",IF(COUNTIFS(Table2[[#All],[De (Lote)]],'Input_APM (Zenith)'!F497)&gt;0,INDEX(Table2[[#All],[Para (Ticker Daniel)]],MATCH('Input_APM (Zenith)'!F497,Table2[[#All],[De (Lote)]],0)),'Input_APM (Zenith)'!F497))</f>
        <v/>
      </c>
      <c r="M497" s="209" t="str">
        <f t="shared" si="57"/>
        <v/>
      </c>
      <c r="N497" s="210" t="str">
        <f t="shared" si="58"/>
        <v/>
      </c>
      <c r="O497" s="210" t="str">
        <f t="shared" si="59"/>
        <v/>
      </c>
    </row>
    <row r="498" spans="11:15">
      <c r="K498" s="209" t="str">
        <f t="shared" si="56"/>
        <v/>
      </c>
      <c r="L498" s="209" t="str">
        <f>IF(E498="","",IF(COUNTIFS(Table2[[#All],[De (Lote)]],'Input_APM (Zenith)'!F498)&gt;0,INDEX(Table2[[#All],[Para (Ticker Daniel)]],MATCH('Input_APM (Zenith)'!F498,Table2[[#All],[De (Lote)]],0)),'Input_APM (Zenith)'!F498))</f>
        <v/>
      </c>
      <c r="M498" s="209" t="str">
        <f t="shared" si="57"/>
        <v/>
      </c>
      <c r="N498" s="210" t="str">
        <f t="shared" si="58"/>
        <v/>
      </c>
      <c r="O498" s="210" t="str">
        <f t="shared" si="59"/>
        <v/>
      </c>
    </row>
    <row r="499" spans="11:15">
      <c r="K499" s="209" t="str">
        <f t="shared" si="56"/>
        <v/>
      </c>
      <c r="L499" s="209" t="str">
        <f>IF(E499="","",IF(COUNTIFS(Table2[[#All],[De (Lote)]],'Input_APM (Zenith)'!F499)&gt;0,INDEX(Table2[[#All],[Para (Ticker Daniel)]],MATCH('Input_APM (Zenith)'!F499,Table2[[#All],[De (Lote)]],0)),'Input_APM (Zenith)'!F499))</f>
        <v/>
      </c>
      <c r="M499" s="209" t="str">
        <f t="shared" si="57"/>
        <v/>
      </c>
      <c r="N499" s="210" t="str">
        <f t="shared" si="58"/>
        <v/>
      </c>
      <c r="O499" s="210" t="str">
        <f t="shared" si="59"/>
        <v/>
      </c>
    </row>
    <row r="500" spans="11:15">
      <c r="K500" s="209" t="str">
        <f t="shared" si="56"/>
        <v/>
      </c>
      <c r="L500" s="209" t="str">
        <f>IF(E500="","",IF(COUNTIFS(Table2[[#All],[De (Lote)]],'Input_APM (Zenith)'!F500)&gt;0,INDEX(Table2[[#All],[Para (Ticker Daniel)]],MATCH('Input_APM (Zenith)'!F500,Table2[[#All],[De (Lote)]],0)),'Input_APM (Zenith)'!F500))</f>
        <v/>
      </c>
      <c r="M500" s="209" t="str">
        <f t="shared" si="57"/>
        <v/>
      </c>
      <c r="N500" s="210" t="str">
        <f t="shared" si="58"/>
        <v/>
      </c>
      <c r="O500" s="210" t="str">
        <f t="shared" si="59"/>
        <v/>
      </c>
    </row>
    <row r="501" spans="11:15">
      <c r="K501" s="209" t="str">
        <f t="shared" si="56"/>
        <v/>
      </c>
      <c r="L501" s="209" t="str">
        <f>IF(E501="","",IF(COUNTIFS(Table2[[#All],[De (Lote)]],'Input_APM (Zenith)'!F501)&gt;0,INDEX(Table2[[#All],[Para (Ticker Daniel)]],MATCH('Input_APM (Zenith)'!F501,Table2[[#All],[De (Lote)]],0)),'Input_APM (Zenith)'!F501))</f>
        <v/>
      </c>
      <c r="M501" s="209" t="str">
        <f t="shared" si="57"/>
        <v/>
      </c>
      <c r="N501" s="210" t="str">
        <f t="shared" si="58"/>
        <v/>
      </c>
      <c r="O501" s="210" t="str">
        <f t="shared" si="59"/>
        <v/>
      </c>
    </row>
    <row r="502" spans="11:15">
      <c r="K502" s="209" t="str">
        <f t="shared" si="56"/>
        <v/>
      </c>
      <c r="L502" s="209" t="str">
        <f>IF(E502="","",IF(COUNTIFS(Table2[[#All],[De (Lote)]],'Input_APM (Zenith)'!F502)&gt;0,INDEX(Table2[[#All],[Para (Ticker Daniel)]],MATCH('Input_APM (Zenith)'!F502,Table2[[#All],[De (Lote)]],0)),'Input_APM (Zenith)'!F502))</f>
        <v/>
      </c>
      <c r="M502" s="209" t="str">
        <f t="shared" si="57"/>
        <v/>
      </c>
      <c r="N502" s="210" t="str">
        <f t="shared" si="58"/>
        <v/>
      </c>
      <c r="O502" s="210" t="str">
        <f t="shared" si="59"/>
        <v/>
      </c>
    </row>
    <row r="503" spans="11:15">
      <c r="K503" s="209" t="str">
        <f t="shared" si="56"/>
        <v/>
      </c>
      <c r="L503" s="209" t="str">
        <f>IF(E503="","",IF(COUNTIFS(Table2[[#All],[De (Lote)]],'Input_APM (Zenith)'!F503)&gt;0,INDEX(Table2[[#All],[Para (Ticker Daniel)]],MATCH('Input_APM (Zenith)'!F503,Table2[[#All],[De (Lote)]],0)),'Input_APM (Zenith)'!F503))</f>
        <v/>
      </c>
      <c r="M503" s="209" t="str">
        <f t="shared" si="57"/>
        <v/>
      </c>
      <c r="N503" s="210" t="str">
        <f t="shared" si="58"/>
        <v/>
      </c>
      <c r="O503" s="210" t="str">
        <f t="shared" si="59"/>
        <v/>
      </c>
    </row>
    <row r="504" spans="11:15">
      <c r="K504" s="209" t="str">
        <f t="shared" si="56"/>
        <v/>
      </c>
      <c r="L504" s="209" t="str">
        <f>IF(E504="","",IF(COUNTIFS(Table2[[#All],[De (Lote)]],'Input_APM (Zenith)'!F504)&gt;0,INDEX(Table2[[#All],[Para (Ticker Daniel)]],MATCH('Input_APM (Zenith)'!F504,Table2[[#All],[De (Lote)]],0)),'Input_APM (Zenith)'!F504))</f>
        <v/>
      </c>
      <c r="M504" s="209" t="str">
        <f t="shared" si="57"/>
        <v/>
      </c>
      <c r="N504" s="210" t="str">
        <f t="shared" si="58"/>
        <v/>
      </c>
      <c r="O504" s="210" t="str">
        <f t="shared" si="59"/>
        <v/>
      </c>
    </row>
    <row r="505" spans="11:15">
      <c r="K505" s="209" t="str">
        <f t="shared" si="56"/>
        <v/>
      </c>
      <c r="L505" s="209" t="str">
        <f>IF(E505="","",IF(COUNTIFS(Table2[[#All],[De (Lote)]],'Input_APM (Zenith)'!F505)&gt;0,INDEX(Table2[[#All],[Para (Ticker Daniel)]],MATCH('Input_APM (Zenith)'!F505,Table2[[#All],[De (Lote)]],0)),'Input_APM (Zenith)'!F505))</f>
        <v/>
      </c>
      <c r="M505" s="209" t="str">
        <f t="shared" si="57"/>
        <v/>
      </c>
      <c r="N505" s="210" t="str">
        <f t="shared" si="58"/>
        <v/>
      </c>
      <c r="O505" s="210" t="str">
        <f t="shared" si="59"/>
        <v/>
      </c>
    </row>
    <row r="506" spans="11:15">
      <c r="K506" s="209" t="str">
        <f t="shared" si="56"/>
        <v/>
      </c>
      <c r="L506" s="209" t="str">
        <f>IF(E506="","",IF(COUNTIFS(Table2[[#All],[De (Lote)]],'Input_APM (Zenith)'!F506)&gt;0,INDEX(Table2[[#All],[Para (Ticker Daniel)]],MATCH('Input_APM (Zenith)'!F506,Table2[[#All],[De (Lote)]],0)),'Input_APM (Zenith)'!F506))</f>
        <v/>
      </c>
      <c r="M506" s="209" t="str">
        <f t="shared" si="57"/>
        <v/>
      </c>
      <c r="N506" s="210" t="str">
        <f t="shared" si="58"/>
        <v/>
      </c>
      <c r="O506" s="210" t="str">
        <f t="shared" si="59"/>
        <v/>
      </c>
    </row>
    <row r="507" spans="11:15">
      <c r="K507" s="209" t="str">
        <f t="shared" si="56"/>
        <v/>
      </c>
      <c r="L507" s="209" t="str">
        <f>IF(E507="","",IF(COUNTIFS(Table2[[#All],[De (Lote)]],'Input_APM (Zenith)'!F507)&gt;0,INDEX(Table2[[#All],[Para (Ticker Daniel)]],MATCH('Input_APM (Zenith)'!F507,Table2[[#All],[De (Lote)]],0)),'Input_APM (Zenith)'!F507))</f>
        <v/>
      </c>
      <c r="M507" s="209" t="str">
        <f t="shared" si="57"/>
        <v/>
      </c>
      <c r="N507" s="210" t="str">
        <f t="shared" si="58"/>
        <v/>
      </c>
      <c r="O507" s="210" t="str">
        <f t="shared" si="59"/>
        <v/>
      </c>
    </row>
    <row r="508" spans="11:15">
      <c r="K508" s="209" t="str">
        <f t="shared" si="56"/>
        <v/>
      </c>
      <c r="L508" s="209" t="str">
        <f>IF(E508="","",IF(COUNTIFS(Table2[[#All],[De (Lote)]],'Input_APM (Zenith)'!F508)&gt;0,INDEX(Table2[[#All],[Para (Ticker Daniel)]],MATCH('Input_APM (Zenith)'!F508,Table2[[#All],[De (Lote)]],0)),'Input_APM (Zenith)'!F508))</f>
        <v/>
      </c>
      <c r="M508" s="209" t="str">
        <f t="shared" si="57"/>
        <v/>
      </c>
      <c r="N508" s="210" t="str">
        <f t="shared" si="58"/>
        <v/>
      </c>
      <c r="O508" s="210" t="str">
        <f t="shared" si="59"/>
        <v/>
      </c>
    </row>
    <row r="509" spans="11:15">
      <c r="K509" s="209" t="str">
        <f t="shared" si="56"/>
        <v/>
      </c>
      <c r="L509" s="209" t="str">
        <f>IF(E509="","",IF(COUNTIFS(Table2[[#All],[De (Lote)]],'Input_APM (Zenith)'!F509)&gt;0,INDEX(Table2[[#All],[Para (Ticker Daniel)]],MATCH('Input_APM (Zenith)'!F509,Table2[[#All],[De (Lote)]],0)),'Input_APM (Zenith)'!F509))</f>
        <v/>
      </c>
      <c r="M509" s="209" t="str">
        <f t="shared" si="57"/>
        <v/>
      </c>
      <c r="N509" s="210" t="str">
        <f t="shared" si="58"/>
        <v/>
      </c>
      <c r="O509" s="210" t="str">
        <f t="shared" si="59"/>
        <v/>
      </c>
    </row>
    <row r="510" spans="11:15">
      <c r="K510" s="209" t="str">
        <f t="shared" si="56"/>
        <v/>
      </c>
      <c r="L510" s="209" t="str">
        <f>IF(E510="","",IF(COUNTIFS(Table2[[#All],[De (Lote)]],'Input_APM (Zenith)'!F510)&gt;0,INDEX(Table2[[#All],[Para (Ticker Daniel)]],MATCH('Input_APM (Zenith)'!F510,Table2[[#All],[De (Lote)]],0)),'Input_APM (Zenith)'!F510))</f>
        <v/>
      </c>
      <c r="M510" s="209" t="str">
        <f t="shared" si="57"/>
        <v/>
      </c>
      <c r="N510" s="210" t="str">
        <f t="shared" si="58"/>
        <v/>
      </c>
      <c r="O510" s="210" t="str">
        <f t="shared" si="59"/>
        <v/>
      </c>
    </row>
    <row r="511" spans="11:15">
      <c r="K511" s="209" t="str">
        <f t="shared" si="56"/>
        <v/>
      </c>
      <c r="L511" s="209" t="str">
        <f>IF(E511="","",IF(COUNTIFS(Table2[[#All],[De (Lote)]],'Input_APM (Zenith)'!F511)&gt;0,INDEX(Table2[[#All],[Para (Ticker Daniel)]],MATCH('Input_APM (Zenith)'!F511,Table2[[#All],[De (Lote)]],0)),'Input_APM (Zenith)'!F511))</f>
        <v/>
      </c>
      <c r="M511" s="209" t="str">
        <f t="shared" si="57"/>
        <v/>
      </c>
      <c r="N511" s="210" t="str">
        <f t="shared" si="58"/>
        <v/>
      </c>
      <c r="O511" s="210" t="str">
        <f t="shared" si="59"/>
        <v/>
      </c>
    </row>
    <row r="512" spans="11:15">
      <c r="K512" s="209" t="str">
        <f t="shared" si="56"/>
        <v/>
      </c>
      <c r="L512" s="209" t="str">
        <f>IF(E512="","",IF(COUNTIFS(Table2[[#All],[De (Lote)]],'Input_APM (Zenith)'!F512)&gt;0,INDEX(Table2[[#All],[Para (Ticker Daniel)]],MATCH('Input_APM (Zenith)'!F512,Table2[[#All],[De (Lote)]],0)),'Input_APM (Zenith)'!F512))</f>
        <v/>
      </c>
      <c r="M512" s="209" t="str">
        <f t="shared" si="57"/>
        <v/>
      </c>
      <c r="N512" s="210" t="str">
        <f t="shared" si="58"/>
        <v/>
      </c>
      <c r="O512" s="210" t="str">
        <f t="shared" si="59"/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importar_zenith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209550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F1D26-094B-44C9-B22D-3C955B582AF3}">
  <sheetPr codeName="Sheet22">
    <tabColor theme="9" tint="0.79998168889431442"/>
  </sheetPr>
  <dimension ref="B1:E151"/>
  <sheetViews>
    <sheetView showGridLines="0" zoomScale="85" zoomScaleNormal="85" workbookViewId="0">
      <selection activeCell="B5" sqref="B5:B159"/>
    </sheetView>
  </sheetViews>
  <sheetFormatPr defaultRowHeight="15"/>
  <cols>
    <col min="2" max="2" width="22.140625" bestFit="1" customWidth="1"/>
    <col min="3" max="3" width="15.85546875" style="213" bestFit="1" customWidth="1"/>
    <col min="4" max="4" width="24.42578125" style="213" bestFit="1" customWidth="1"/>
    <col min="5" max="5" width="24.42578125" style="213" customWidth="1"/>
    <col min="6" max="6" width="13.85546875" bestFit="1" customWidth="1"/>
    <col min="7" max="7" width="9.42578125" bestFit="1" customWidth="1"/>
    <col min="10" max="10" width="30.7109375" bestFit="1" customWidth="1"/>
    <col min="11" max="11" width="13.85546875" bestFit="1" customWidth="1"/>
    <col min="12" max="12" width="8" bestFit="1" customWidth="1"/>
    <col min="13" max="13" width="12.85546875" bestFit="1" customWidth="1"/>
  </cols>
  <sheetData>
    <row r="1" spans="2:5">
      <c r="C1" s="7" t="s">
        <v>282</v>
      </c>
      <c r="D1" s="7" t="s">
        <v>283</v>
      </c>
      <c r="E1" s="7"/>
    </row>
    <row r="2" spans="2:5">
      <c r="C2"/>
      <c r="D2"/>
      <c r="E2"/>
    </row>
    <row r="3" spans="2:5">
      <c r="C3"/>
      <c r="D3"/>
      <c r="E3"/>
    </row>
    <row r="4" spans="2:5">
      <c r="B4" s="211" t="s">
        <v>292</v>
      </c>
      <c r="C4" s="211" t="s">
        <v>288</v>
      </c>
      <c r="D4" s="211" t="s">
        <v>289</v>
      </c>
      <c r="E4" s="211" t="s">
        <v>290</v>
      </c>
    </row>
    <row r="5" spans="2:5">
      <c r="B5" s="21" t="s">
        <v>328</v>
      </c>
      <c r="C5" s="212">
        <f>IF(B5="","",IF(OR(LEFT(B5,4)="Cash",LEFT(B5,4)="Prov"),0,SUMIFS('Input_APM (Zenith)'!N:N,'Input_APM (Zenith)'!L:L,'Check (Zenith)'!B5,'Input_APM (Zenith)'!M:M,'Check (Zenith)'!$C$1)))</f>
        <v>0</v>
      </c>
      <c r="D5" s="212">
        <f>IF(B5="","",IF(OR(LEFT(B5,4)="Cash",LEFT(B5,4)="Prov"),0,SUMIFS('Input_APM (Zenith)'!N:N,'Input_APM (Zenith)'!L:L,'Check (Zenith)'!B5,'Input_APM (Zenith)'!M:M,'Check (Zenith)'!$D$1)))</f>
        <v>0</v>
      </c>
      <c r="E5" s="212">
        <f>IF(B5="","",C5-D5)</f>
        <v>0</v>
      </c>
    </row>
    <row r="6" spans="2:5">
      <c r="B6" s="21" t="s">
        <v>329</v>
      </c>
      <c r="C6" s="212">
        <f>IF(B6="","",IF(OR(LEFT(B6,4)="Cash",LEFT(B6,4)="Prov"),0,SUMIFS('Input_APM (Zenith)'!N:N,'Input_APM (Zenith)'!L:L,'Check (Zenith)'!B6,'Input_APM (Zenith)'!M:M,'Check (Zenith)'!$C$1)))</f>
        <v>0</v>
      </c>
      <c r="D6" s="212">
        <f>IF(B6="","",IF(OR(LEFT(B6,4)="Cash",LEFT(B6,4)="Prov"),0,SUMIFS('Input_APM (Zenith)'!N:N,'Input_APM (Zenith)'!L:L,'Check (Zenith)'!B6,'Input_APM (Zenith)'!M:M,'Check (Zenith)'!$D$1)))</f>
        <v>0</v>
      </c>
      <c r="E6" s="212">
        <f t="shared" ref="E6:E69" si="0">IF(B6="","",C6-D6)</f>
        <v>0</v>
      </c>
    </row>
    <row r="7" spans="2:5">
      <c r="B7" s="21" t="s">
        <v>330</v>
      </c>
      <c r="C7" s="212">
        <f>IF(B7="","",IF(OR(LEFT(B7,4)="Cash",LEFT(B7,4)="Prov"),0,SUMIFS('Input_APM (Zenith)'!N:N,'Input_APM (Zenith)'!L:L,'Check (Zenith)'!B7,'Input_APM (Zenith)'!M:M,'Check (Zenith)'!$C$1)))</f>
        <v>0</v>
      </c>
      <c r="D7" s="212">
        <f>IF(B7="","",IF(OR(LEFT(B7,4)="Cash",LEFT(B7,4)="Prov"),0,SUMIFS('Input_APM (Zenith)'!N:N,'Input_APM (Zenith)'!L:L,'Check (Zenith)'!B7,'Input_APM (Zenith)'!M:M,'Check (Zenith)'!$D$1)))</f>
        <v>0</v>
      </c>
      <c r="E7" s="212">
        <f t="shared" si="0"/>
        <v>0</v>
      </c>
    </row>
    <row r="8" spans="2:5">
      <c r="B8" s="21" t="s">
        <v>331</v>
      </c>
      <c r="C8" s="212">
        <f>IF(B8="","",IF(OR(LEFT(B8,4)="Cash",LEFT(B8,4)="Prov"),0,SUMIFS('Input_APM (Zenith)'!N:N,'Input_APM (Zenith)'!L:L,'Check (Zenith)'!B8,'Input_APM (Zenith)'!M:M,'Check (Zenith)'!$C$1)))</f>
        <v>0</v>
      </c>
      <c r="D8" s="212">
        <f>IF(B8="","",IF(OR(LEFT(B8,4)="Cash",LEFT(B8,4)="Prov"),0,SUMIFS('Input_APM (Zenith)'!N:N,'Input_APM (Zenith)'!L:L,'Check (Zenith)'!B8,'Input_APM (Zenith)'!M:M,'Check (Zenith)'!$D$1)))</f>
        <v>0</v>
      </c>
      <c r="E8" s="212">
        <f t="shared" si="0"/>
        <v>0</v>
      </c>
    </row>
    <row r="9" spans="2:5">
      <c r="B9" s="21" t="s">
        <v>332</v>
      </c>
      <c r="C9" s="212">
        <f>IF(B9="","",IF(OR(LEFT(B9,4)="Cash",LEFT(B9,4)="Prov"),0,SUMIFS('Input_APM (Zenith)'!N:N,'Input_APM (Zenith)'!L:L,'Check (Zenith)'!B9,'Input_APM (Zenith)'!M:M,'Check (Zenith)'!$C$1)))</f>
        <v>0</v>
      </c>
      <c r="D9" s="212">
        <f>IF(B9="","",IF(OR(LEFT(B9,4)="Cash",LEFT(B9,4)="Prov"),0,SUMIFS('Input_APM (Zenith)'!N:N,'Input_APM (Zenith)'!L:L,'Check (Zenith)'!B9,'Input_APM (Zenith)'!M:M,'Check (Zenith)'!$D$1)))</f>
        <v>0</v>
      </c>
      <c r="E9" s="212">
        <f t="shared" si="0"/>
        <v>0</v>
      </c>
    </row>
    <row r="10" spans="2:5">
      <c r="B10" s="21" t="s">
        <v>295</v>
      </c>
      <c r="C10" s="212">
        <f>IF(B10="","",IF(OR(LEFT(B10,4)="Cash",LEFT(B10,4)="Prov"),0,SUMIFS('Input_APM (Zenith)'!N:N,'Input_APM (Zenith)'!L:L,'Check (Zenith)'!B10,'Input_APM (Zenith)'!M:M,'Check (Zenith)'!$C$1)))</f>
        <v>0</v>
      </c>
      <c r="D10" s="212">
        <f>IF(B10="","",IF(OR(LEFT(B10,4)="Cash",LEFT(B10,4)="Prov"),0,SUMIFS('Input_APM (Zenith)'!N:N,'Input_APM (Zenith)'!L:L,'Check (Zenith)'!B10,'Input_APM (Zenith)'!M:M,'Check (Zenith)'!$D$1)))</f>
        <v>0</v>
      </c>
      <c r="E10" s="212">
        <f t="shared" si="0"/>
        <v>0</v>
      </c>
    </row>
    <row r="11" spans="2:5">
      <c r="B11" s="21" t="s">
        <v>296</v>
      </c>
      <c r="C11" s="212">
        <f>IF(B11="","",IF(OR(LEFT(B11,4)="Cash",LEFT(B11,4)="Prov"),0,SUMIFS('Input_APM (Zenith)'!N:N,'Input_APM (Zenith)'!L:L,'Check (Zenith)'!B11,'Input_APM (Zenith)'!M:M,'Check (Zenith)'!$C$1)))</f>
        <v>0</v>
      </c>
      <c r="D11" s="212">
        <f>IF(B11="","",IF(OR(LEFT(B11,4)="Cash",LEFT(B11,4)="Prov"),0,SUMIFS('Input_APM (Zenith)'!N:N,'Input_APM (Zenith)'!L:L,'Check (Zenith)'!B11,'Input_APM (Zenith)'!M:M,'Check (Zenith)'!$D$1)))</f>
        <v>0</v>
      </c>
      <c r="E11" s="212">
        <f t="shared" si="0"/>
        <v>0</v>
      </c>
    </row>
    <row r="12" spans="2:5">
      <c r="B12" s="21" t="s">
        <v>297</v>
      </c>
      <c r="C12" s="212">
        <f>IF(B12="","",IF(OR(LEFT(B12,4)="Cash",LEFT(B12,4)="Prov"),0,SUMIFS('Input_APM (Zenith)'!N:N,'Input_APM (Zenith)'!L:L,'Check (Zenith)'!B12,'Input_APM (Zenith)'!M:M,'Check (Zenith)'!$C$1)))</f>
        <v>0</v>
      </c>
      <c r="D12" s="212">
        <f>IF(B12="","",IF(OR(LEFT(B12,4)="Cash",LEFT(B12,4)="Prov"),0,SUMIFS('Input_APM (Zenith)'!N:N,'Input_APM (Zenith)'!L:L,'Check (Zenith)'!B12,'Input_APM (Zenith)'!M:M,'Check (Zenith)'!$D$1)))</f>
        <v>0</v>
      </c>
      <c r="E12" s="212">
        <f t="shared" si="0"/>
        <v>0</v>
      </c>
    </row>
    <row r="13" spans="2:5">
      <c r="B13" s="21" t="s">
        <v>298</v>
      </c>
      <c r="C13" s="212">
        <f>IF(B13="","",IF(OR(LEFT(B13,4)="Cash",LEFT(B13,4)="Prov"),0,SUMIFS('Input_APM (Zenith)'!N:N,'Input_APM (Zenith)'!L:L,'Check (Zenith)'!B13,'Input_APM (Zenith)'!M:M,'Check (Zenith)'!$C$1)))</f>
        <v>0</v>
      </c>
      <c r="D13" s="212">
        <f>IF(B13="","",IF(OR(LEFT(B13,4)="Cash",LEFT(B13,4)="Prov"),0,SUMIFS('Input_APM (Zenith)'!N:N,'Input_APM (Zenith)'!L:L,'Check (Zenith)'!B13,'Input_APM (Zenith)'!M:M,'Check (Zenith)'!$D$1)))</f>
        <v>0</v>
      </c>
      <c r="E13" s="212">
        <f t="shared" si="0"/>
        <v>0</v>
      </c>
    </row>
    <row r="14" spans="2:5">
      <c r="B14" s="21" t="s">
        <v>299</v>
      </c>
      <c r="C14" s="212">
        <f>IF(B14="","",IF(OR(LEFT(B14,4)="Cash",LEFT(B14,4)="Prov"),0,SUMIFS('Input_APM (Zenith)'!N:N,'Input_APM (Zenith)'!L:L,'Check (Zenith)'!B14,'Input_APM (Zenith)'!M:M,'Check (Zenith)'!$C$1)))</f>
        <v>0</v>
      </c>
      <c r="D14" s="212">
        <f>IF(B14="","",IF(OR(LEFT(B14,4)="Cash",LEFT(B14,4)="Prov"),0,SUMIFS('Input_APM (Zenith)'!N:N,'Input_APM (Zenith)'!L:L,'Check (Zenith)'!B14,'Input_APM (Zenith)'!M:M,'Check (Zenith)'!$D$1)))</f>
        <v>0</v>
      </c>
      <c r="E14" s="212">
        <f t="shared" si="0"/>
        <v>0</v>
      </c>
    </row>
    <row r="15" spans="2:5">
      <c r="B15" s="21" t="s">
        <v>300</v>
      </c>
      <c r="C15" s="212">
        <f>IF(B15="","",IF(OR(LEFT(B15,4)="Cash",LEFT(B15,4)="Prov"),0,SUMIFS('Input_APM (Zenith)'!N:N,'Input_APM (Zenith)'!L:L,'Check (Zenith)'!B15,'Input_APM (Zenith)'!M:M,'Check (Zenith)'!$C$1)))</f>
        <v>0</v>
      </c>
      <c r="D15" s="212">
        <f>IF(B15="","",IF(OR(LEFT(B15,4)="Cash",LEFT(B15,4)="Prov"),0,SUMIFS('Input_APM (Zenith)'!N:N,'Input_APM (Zenith)'!L:L,'Check (Zenith)'!B15,'Input_APM (Zenith)'!M:M,'Check (Zenith)'!$D$1)))</f>
        <v>0</v>
      </c>
      <c r="E15" s="212">
        <f t="shared" si="0"/>
        <v>0</v>
      </c>
    </row>
    <row r="16" spans="2:5">
      <c r="B16" s="21" t="s">
        <v>301</v>
      </c>
      <c r="C16" s="212">
        <f>IF(B16="","",IF(OR(LEFT(B16,4)="Cash",LEFT(B16,4)="Prov"),0,SUMIFS('Input_APM (Zenith)'!N:N,'Input_APM (Zenith)'!L:L,'Check (Zenith)'!B16,'Input_APM (Zenith)'!M:M,'Check (Zenith)'!$C$1)))</f>
        <v>0</v>
      </c>
      <c r="D16" s="212">
        <f>IF(B16="","",IF(OR(LEFT(B16,4)="Cash",LEFT(B16,4)="Prov"),0,SUMIFS('Input_APM (Zenith)'!N:N,'Input_APM (Zenith)'!L:L,'Check (Zenith)'!B16,'Input_APM (Zenith)'!M:M,'Check (Zenith)'!$D$1)))</f>
        <v>0</v>
      </c>
      <c r="E16" s="212">
        <f t="shared" si="0"/>
        <v>0</v>
      </c>
    </row>
    <row r="17" spans="2:5">
      <c r="B17" s="21" t="s">
        <v>302</v>
      </c>
      <c r="C17" s="212">
        <f>IF(B17="","",IF(OR(LEFT(B17,4)="Cash",LEFT(B17,4)="Prov"),0,SUMIFS('Input_APM (Zenith)'!N:N,'Input_APM (Zenith)'!L:L,'Check (Zenith)'!B17,'Input_APM (Zenith)'!M:M,'Check (Zenith)'!$C$1)))</f>
        <v>0</v>
      </c>
      <c r="D17" s="212">
        <f>IF(B17="","",IF(OR(LEFT(B17,4)="Cash",LEFT(B17,4)="Prov"),0,SUMIFS('Input_APM (Zenith)'!N:N,'Input_APM (Zenith)'!L:L,'Check (Zenith)'!B17,'Input_APM (Zenith)'!M:M,'Check (Zenith)'!$D$1)))</f>
        <v>0</v>
      </c>
      <c r="E17" s="212">
        <f t="shared" si="0"/>
        <v>0</v>
      </c>
    </row>
    <row r="18" spans="2:5">
      <c r="B18" t="s">
        <v>333</v>
      </c>
      <c r="C18" s="212">
        <f>IF(B18="","",IF(OR(LEFT(B18,4)="Cash",LEFT(B18,4)="Prov"),0,SUMIFS('Input_APM (Zenith)'!N:N,'Input_APM (Zenith)'!L:L,'Check (Zenith)'!B18,'Input_APM (Zenith)'!M:M,'Check (Zenith)'!$C$1)))</f>
        <v>0</v>
      </c>
      <c r="D18" s="212">
        <f>IF(B18="","",IF(OR(LEFT(B18,4)="Cash",LEFT(B18,4)="Prov"),0,SUMIFS('Input_APM (Zenith)'!N:N,'Input_APM (Zenith)'!L:L,'Check (Zenith)'!B18,'Input_APM (Zenith)'!M:M,'Check (Zenith)'!$D$1)))</f>
        <v>0</v>
      </c>
      <c r="E18" s="212">
        <f t="shared" si="0"/>
        <v>0</v>
      </c>
    </row>
    <row r="19" spans="2:5">
      <c r="B19" s="21" t="s">
        <v>334</v>
      </c>
      <c r="C19" s="212">
        <f>IF(B19="","",IF(OR(LEFT(B19,4)="Cash",LEFT(B19,4)="Prov"),0,SUMIFS('Input_APM (Zenith)'!N:N,'Input_APM (Zenith)'!L:L,'Check (Zenith)'!B19,'Input_APM (Zenith)'!M:M,'Check (Zenith)'!$C$1)))</f>
        <v>0</v>
      </c>
      <c r="D19" s="212">
        <f>IF(B19="","",IF(OR(LEFT(B19,4)="Cash",LEFT(B19,4)="Prov"),0,SUMIFS('Input_APM (Zenith)'!N:N,'Input_APM (Zenith)'!L:L,'Check (Zenith)'!B19,'Input_APM (Zenith)'!M:M,'Check (Zenith)'!$D$1)))</f>
        <v>0</v>
      </c>
      <c r="E19" s="212">
        <f t="shared" si="0"/>
        <v>0</v>
      </c>
    </row>
    <row r="20" spans="2:5">
      <c r="B20" s="21" t="s">
        <v>235</v>
      </c>
      <c r="C20" s="212">
        <f>IF(B20="","",IF(OR(LEFT(B20,4)="Cash",LEFT(B20,4)="Prov"),0,SUMIFS('Input_APM (Zenith)'!N:N,'Input_APM (Zenith)'!L:L,'Check (Zenith)'!B20,'Input_APM (Zenith)'!M:M,'Check (Zenith)'!$C$1)))</f>
        <v>0</v>
      </c>
      <c r="D20" s="212">
        <f>IF(B20="","",IF(OR(LEFT(B20,4)="Cash",LEFT(B20,4)="Prov"),0,SUMIFS('Input_APM (Zenith)'!N:N,'Input_APM (Zenith)'!L:L,'Check (Zenith)'!B20,'Input_APM (Zenith)'!M:M,'Check (Zenith)'!$D$1)))</f>
        <v>0</v>
      </c>
      <c r="E20" s="212">
        <f t="shared" si="0"/>
        <v>0</v>
      </c>
    </row>
    <row r="21" spans="2:5">
      <c r="B21" s="21" t="s">
        <v>236</v>
      </c>
      <c r="C21" s="212">
        <f>IF(B21="","",IF(OR(LEFT(B21,4)="Cash",LEFT(B21,4)="Prov"),0,SUMIFS('Input_APM (Zenith)'!N:N,'Input_APM (Zenith)'!L:L,'Check (Zenith)'!B21,'Input_APM (Zenith)'!M:M,'Check (Zenith)'!$C$1)))</f>
        <v>0</v>
      </c>
      <c r="D21" s="212">
        <f>IF(B21="","",IF(OR(LEFT(B21,4)="Cash",LEFT(B21,4)="Prov"),0,SUMIFS('Input_APM (Zenith)'!N:N,'Input_APM (Zenith)'!L:L,'Check (Zenith)'!B21,'Input_APM (Zenith)'!M:M,'Check (Zenith)'!$D$1)))</f>
        <v>0</v>
      </c>
      <c r="E21" s="212">
        <f t="shared" si="0"/>
        <v>0</v>
      </c>
    </row>
    <row r="22" spans="2:5">
      <c r="B22" t="s">
        <v>131</v>
      </c>
      <c r="C22" s="212">
        <f>IF(B22="","",IF(OR(LEFT(B22,4)="Cash",LEFT(B22,4)="Prov"),0,SUMIFS('Input_APM (Zenith)'!N:N,'Input_APM (Zenith)'!L:L,'Check (Zenith)'!B22,'Input_APM (Zenith)'!M:M,'Check (Zenith)'!$C$1)))</f>
        <v>0</v>
      </c>
      <c r="D22" s="212">
        <f>IF(B22="","",IF(OR(LEFT(B22,4)="Cash",LEFT(B22,4)="Prov"),0,SUMIFS('Input_APM (Zenith)'!N:N,'Input_APM (Zenith)'!L:L,'Check (Zenith)'!B22,'Input_APM (Zenith)'!M:M,'Check (Zenith)'!$D$1)))</f>
        <v>0</v>
      </c>
      <c r="E22" s="212">
        <f t="shared" si="0"/>
        <v>0</v>
      </c>
    </row>
    <row r="23" spans="2:5">
      <c r="B23" s="21" t="s">
        <v>239</v>
      </c>
      <c r="C23" s="212">
        <f>IF(B23="","",IF(OR(LEFT(B23,4)="Cash",LEFT(B23,4)="Prov"),0,SUMIFS('Input_APM (Zenith)'!N:N,'Input_APM (Zenith)'!L:L,'Check (Zenith)'!B23,'Input_APM (Zenith)'!M:M,'Check (Zenith)'!$C$1)))</f>
        <v>0</v>
      </c>
      <c r="D23" s="212">
        <f>IF(B23="","",IF(OR(LEFT(B23,4)="Cash",LEFT(B23,4)="Prov"),0,SUMIFS('Input_APM (Zenith)'!N:N,'Input_APM (Zenith)'!L:L,'Check (Zenith)'!B23,'Input_APM (Zenith)'!M:M,'Check (Zenith)'!$D$1)))</f>
        <v>0</v>
      </c>
      <c r="E23" s="212">
        <f t="shared" si="0"/>
        <v>0</v>
      </c>
    </row>
    <row r="24" spans="2:5">
      <c r="B24" s="21" t="s">
        <v>237</v>
      </c>
      <c r="C24" s="212">
        <f>IF(B24="","",IF(OR(LEFT(B24,4)="Cash",LEFT(B24,4)="Prov"),0,SUMIFS('Input_APM (Zenith)'!N:N,'Input_APM (Zenith)'!L:L,'Check (Zenith)'!B24,'Input_APM (Zenith)'!M:M,'Check (Zenith)'!$C$1)))</f>
        <v>0</v>
      </c>
      <c r="D24" s="212">
        <f>IF(B24="","",IF(OR(LEFT(B24,4)="Cash",LEFT(B24,4)="Prov"),0,SUMIFS('Input_APM (Zenith)'!N:N,'Input_APM (Zenith)'!L:L,'Check (Zenith)'!B24,'Input_APM (Zenith)'!M:M,'Check (Zenith)'!$D$1)))</f>
        <v>0</v>
      </c>
      <c r="E24" s="212">
        <f t="shared" si="0"/>
        <v>0</v>
      </c>
    </row>
    <row r="25" spans="2:5">
      <c r="B25" s="21" t="s">
        <v>240</v>
      </c>
      <c r="C25" s="212">
        <f>IF(B25="","",IF(OR(LEFT(B25,4)="Cash",LEFT(B25,4)="Prov"),0,SUMIFS('Input_APM (Zenith)'!N:N,'Input_APM (Zenith)'!L:L,'Check (Zenith)'!B25,'Input_APM (Zenith)'!M:M,'Check (Zenith)'!$C$1)))</f>
        <v>0</v>
      </c>
      <c r="D25" s="212">
        <f>IF(B25="","",IF(OR(LEFT(B25,4)="Cash",LEFT(B25,4)="Prov"),0,SUMIFS('Input_APM (Zenith)'!N:N,'Input_APM (Zenith)'!L:L,'Check (Zenith)'!B25,'Input_APM (Zenith)'!M:M,'Check (Zenith)'!$D$1)))</f>
        <v>0</v>
      </c>
      <c r="E25" s="212">
        <f t="shared" si="0"/>
        <v>0</v>
      </c>
    </row>
    <row r="26" spans="2:5">
      <c r="B26" t="s">
        <v>238</v>
      </c>
      <c r="C26" s="212">
        <f>IF(B26="","",IF(OR(LEFT(B26,4)="Cash",LEFT(B26,4)="Prov"),0,SUMIFS('Input_APM (Zenith)'!N:N,'Input_APM (Zenith)'!L:L,'Check (Zenith)'!B26,'Input_APM (Zenith)'!M:M,'Check (Zenith)'!$C$1)))</f>
        <v>0</v>
      </c>
      <c r="D26" s="212">
        <f>IF(B26="","",IF(OR(LEFT(B26,4)="Cash",LEFT(B26,4)="Prov"),0,SUMIFS('Input_APM (Zenith)'!N:N,'Input_APM (Zenith)'!L:L,'Check (Zenith)'!B26,'Input_APM (Zenith)'!M:M,'Check (Zenith)'!$D$1)))</f>
        <v>0</v>
      </c>
      <c r="E26" s="212">
        <f t="shared" si="0"/>
        <v>0</v>
      </c>
    </row>
    <row r="27" spans="2:5">
      <c r="B27" s="21" t="s">
        <v>241</v>
      </c>
      <c r="C27" s="212">
        <f>IF(B27="","",IF(OR(LEFT(B27,4)="Cash",LEFT(B27,4)="Prov"),0,SUMIFS('Input_APM (Zenith)'!N:N,'Input_APM (Zenith)'!L:L,'Check (Zenith)'!B27,'Input_APM (Zenith)'!M:M,'Check (Zenith)'!$C$1)))</f>
        <v>0</v>
      </c>
      <c r="D27" s="212">
        <f>IF(B27="","",IF(OR(LEFT(B27,4)="Cash",LEFT(B27,4)="Prov"),0,SUMIFS('Input_APM (Zenith)'!N:N,'Input_APM (Zenith)'!L:L,'Check (Zenith)'!B27,'Input_APM (Zenith)'!M:M,'Check (Zenith)'!$D$1)))</f>
        <v>0</v>
      </c>
      <c r="E27" s="212">
        <f t="shared" si="0"/>
        <v>0</v>
      </c>
    </row>
    <row r="28" spans="2:5">
      <c r="B28" s="21" t="s">
        <v>242</v>
      </c>
      <c r="C28" s="212">
        <f>IF(B28="","",IF(OR(LEFT(B28,4)="Cash",LEFT(B28,4)="Prov"),0,SUMIFS('Input_APM (Zenith)'!N:N,'Input_APM (Zenith)'!L:L,'Check (Zenith)'!B28,'Input_APM (Zenith)'!M:M,'Check (Zenith)'!$C$1)))</f>
        <v>0</v>
      </c>
      <c r="D28" s="212">
        <f>IF(B28="","",IF(OR(LEFT(B28,4)="Cash",LEFT(B28,4)="Prov"),0,SUMIFS('Input_APM (Zenith)'!N:N,'Input_APM (Zenith)'!L:L,'Check (Zenith)'!B28,'Input_APM (Zenith)'!M:M,'Check (Zenith)'!$D$1)))</f>
        <v>0</v>
      </c>
      <c r="E28" s="212">
        <f t="shared" si="0"/>
        <v>0</v>
      </c>
    </row>
    <row r="29" spans="2:5">
      <c r="B29" t="s">
        <v>304</v>
      </c>
      <c r="C29" s="212">
        <f>IF(B29="","",IF(OR(LEFT(B29,4)="Cash",LEFT(B29,4)="Prov"),0,SUMIFS('Input_APM (Zenith)'!N:N,'Input_APM (Zenith)'!L:L,'Check (Zenith)'!B29,'Input_APM (Zenith)'!M:M,'Check (Zenith)'!$C$1)))</f>
        <v>0</v>
      </c>
      <c r="D29" s="212">
        <f>IF(B29="","",IF(OR(LEFT(B29,4)="Cash",LEFT(B29,4)="Prov"),0,SUMIFS('Input_APM (Zenith)'!N:N,'Input_APM (Zenith)'!L:L,'Check (Zenith)'!B29,'Input_APM (Zenith)'!M:M,'Check (Zenith)'!$D$1)))</f>
        <v>0</v>
      </c>
      <c r="E29" s="212">
        <f t="shared" si="0"/>
        <v>0</v>
      </c>
    </row>
    <row r="30" spans="2:5">
      <c r="B30" t="s">
        <v>335</v>
      </c>
      <c r="C30" s="212">
        <f>IF(B30="","",IF(OR(LEFT(B30,4)="Cash",LEFT(B30,4)="Prov"),0,SUMIFS('Input_APM (Zenith)'!N:N,'Input_APM (Zenith)'!L:L,'Check (Zenith)'!B30,'Input_APM (Zenith)'!M:M,'Check (Zenith)'!$C$1)))</f>
        <v>0</v>
      </c>
      <c r="D30" s="212">
        <f>IF(B30="","",IF(OR(LEFT(B30,4)="Cash",LEFT(B30,4)="Prov"),0,SUMIFS('Input_APM (Zenith)'!N:N,'Input_APM (Zenith)'!L:L,'Check (Zenith)'!B30,'Input_APM (Zenith)'!M:M,'Check (Zenith)'!$D$1)))</f>
        <v>0</v>
      </c>
      <c r="E30" s="212">
        <f t="shared" si="0"/>
        <v>0</v>
      </c>
    </row>
    <row r="31" spans="2:5">
      <c r="B31" t="s">
        <v>195</v>
      </c>
      <c r="C31" s="212">
        <f>IF(B31="","",IF(OR(LEFT(B31,4)="Cash",LEFT(B31,4)="Prov"),0,SUMIFS('Input_APM (Zenith)'!N:N,'Input_APM (Zenith)'!L:L,'Check (Zenith)'!B31,'Input_APM (Zenith)'!M:M,'Check (Zenith)'!$C$1)))</f>
        <v>0</v>
      </c>
      <c r="D31" s="212">
        <f>IF(B31="","",IF(OR(LEFT(B31,4)="Cash",LEFT(B31,4)="Prov"),0,SUMIFS('Input_APM (Zenith)'!N:N,'Input_APM (Zenith)'!L:L,'Check (Zenith)'!B31,'Input_APM (Zenith)'!M:M,'Check (Zenith)'!$D$1)))</f>
        <v>0</v>
      </c>
      <c r="E31" s="212">
        <f t="shared" si="0"/>
        <v>0</v>
      </c>
    </row>
    <row r="32" spans="2:5">
      <c r="B32" t="s">
        <v>234</v>
      </c>
      <c r="C32" s="212">
        <f>IF(B32="","",IF(OR(LEFT(B32,4)="Cash",LEFT(B32,4)="Prov"),0,SUMIFS('Input_APM (Zenith)'!N:N,'Input_APM (Zenith)'!L:L,'Check (Zenith)'!B32,'Input_APM (Zenith)'!M:M,'Check (Zenith)'!$C$1)))</f>
        <v>0</v>
      </c>
      <c r="D32" s="212">
        <f>IF(B32="","",IF(OR(LEFT(B32,4)="Cash",LEFT(B32,4)="Prov"),0,SUMIFS('Input_APM (Zenith)'!N:N,'Input_APM (Zenith)'!L:L,'Check (Zenith)'!B32,'Input_APM (Zenith)'!M:M,'Check (Zenith)'!$D$1)))</f>
        <v>0</v>
      </c>
      <c r="E32" s="212">
        <f t="shared" si="0"/>
        <v>0</v>
      </c>
    </row>
    <row r="33" spans="2:5">
      <c r="B33" t="s">
        <v>86</v>
      </c>
      <c r="C33" s="212">
        <f>IF(B33="","",IF(OR(LEFT(B33,4)="Cash",LEFT(B33,4)="Prov"),0,SUMIFS('Input_APM (Zenith)'!N:N,'Input_APM (Zenith)'!L:L,'Check (Zenith)'!B33,'Input_APM (Zenith)'!M:M,'Check (Zenith)'!$C$1)))</f>
        <v>0</v>
      </c>
      <c r="D33" s="212">
        <f>IF(B33="","",IF(OR(LEFT(B33,4)="Cash",LEFT(B33,4)="Prov"),0,SUMIFS('Input_APM (Zenith)'!N:N,'Input_APM (Zenith)'!L:L,'Check (Zenith)'!B33,'Input_APM (Zenith)'!M:M,'Check (Zenith)'!$D$1)))</f>
        <v>0</v>
      </c>
      <c r="E33" s="212">
        <f t="shared" si="0"/>
        <v>0</v>
      </c>
    </row>
    <row r="34" spans="2:5">
      <c r="B34" t="s">
        <v>81</v>
      </c>
      <c r="C34" s="212">
        <f>IF(B34="","",IF(OR(LEFT(B34,4)="Cash",LEFT(B34,4)="Prov"),0,SUMIFS('Input_APM (Zenith)'!N:N,'Input_APM (Zenith)'!L:L,'Check (Zenith)'!B34,'Input_APM (Zenith)'!M:M,'Check (Zenith)'!$C$1)))</f>
        <v>347</v>
      </c>
      <c r="D34" s="212">
        <f>IF(B34="","",IF(OR(LEFT(B34,4)="Cash",LEFT(B34,4)="Prov"),0,SUMIFS('Input_APM (Zenith)'!N:N,'Input_APM (Zenith)'!L:L,'Check (Zenith)'!B34,'Input_APM (Zenith)'!M:M,'Check (Zenith)'!$D$1)))</f>
        <v>0</v>
      </c>
      <c r="E34" s="212">
        <f t="shared" si="0"/>
        <v>347</v>
      </c>
    </row>
    <row r="35" spans="2:5">
      <c r="B35" t="s">
        <v>278</v>
      </c>
      <c r="C35" s="212">
        <f>IF(B35="","",IF(OR(LEFT(B35,4)="Cash",LEFT(B35,4)="Prov"),0,SUMIFS('Input_APM (Zenith)'!N:N,'Input_APM (Zenith)'!L:L,'Check (Zenith)'!B35,'Input_APM (Zenith)'!M:M,'Check (Zenith)'!$C$1)))</f>
        <v>0</v>
      </c>
      <c r="D35" s="212">
        <f>IF(B35="","",IF(OR(LEFT(B35,4)="Cash",LEFT(B35,4)="Prov"),0,SUMIFS('Input_APM (Zenith)'!N:N,'Input_APM (Zenith)'!L:L,'Check (Zenith)'!B35,'Input_APM (Zenith)'!M:M,'Check (Zenith)'!$D$1)))</f>
        <v>0</v>
      </c>
      <c r="E35" s="212">
        <f t="shared" si="0"/>
        <v>0</v>
      </c>
    </row>
    <row r="36" spans="2:5">
      <c r="B36" t="s">
        <v>279</v>
      </c>
      <c r="C36" s="212">
        <f>IF(B36="","",IF(OR(LEFT(B36,4)="Cash",LEFT(B36,4)="Prov"),0,SUMIFS('Input_APM (Zenith)'!N:N,'Input_APM (Zenith)'!L:L,'Check (Zenith)'!B36,'Input_APM (Zenith)'!M:M,'Check (Zenith)'!$C$1)))</f>
        <v>0</v>
      </c>
      <c r="D36" s="212">
        <f>IF(B36="","",IF(OR(LEFT(B36,4)="Cash",LEFT(B36,4)="Prov"),0,SUMIFS('Input_APM (Zenith)'!N:N,'Input_APM (Zenith)'!L:L,'Check (Zenith)'!B36,'Input_APM (Zenith)'!M:M,'Check (Zenith)'!$D$1)))</f>
        <v>0</v>
      </c>
      <c r="E36" s="212">
        <f t="shared" si="0"/>
        <v>0</v>
      </c>
    </row>
    <row r="37" spans="2:5">
      <c r="B37" t="s">
        <v>280</v>
      </c>
      <c r="C37" s="212">
        <f>IF(B37="","",IF(OR(LEFT(B37,4)="Cash",LEFT(B37,4)="Prov"),0,SUMIFS('Input_APM (Zenith)'!N:N,'Input_APM (Zenith)'!L:L,'Check (Zenith)'!B37,'Input_APM (Zenith)'!M:M,'Check (Zenith)'!$C$1)))</f>
        <v>0</v>
      </c>
      <c r="D37" s="212">
        <f>IF(B37="","",IF(OR(LEFT(B37,4)="Cash",LEFT(B37,4)="Prov"),0,SUMIFS('Input_APM (Zenith)'!N:N,'Input_APM (Zenith)'!L:L,'Check (Zenith)'!B37,'Input_APM (Zenith)'!M:M,'Check (Zenith)'!$D$1)))</f>
        <v>0</v>
      </c>
      <c r="E37" s="212">
        <f t="shared" si="0"/>
        <v>0</v>
      </c>
    </row>
    <row r="38" spans="2:5">
      <c r="B38" t="s">
        <v>281</v>
      </c>
      <c r="C38" s="212">
        <f>IF(B38="","",IF(OR(LEFT(B38,4)="Cash",LEFT(B38,4)="Prov"),0,SUMIFS('Input_APM (Zenith)'!N:N,'Input_APM (Zenith)'!L:L,'Check (Zenith)'!B38,'Input_APM (Zenith)'!M:M,'Check (Zenith)'!$C$1)))</f>
        <v>0</v>
      </c>
      <c r="D38" s="212">
        <f>IF(B38="","",IF(OR(LEFT(B38,4)="Cash",LEFT(B38,4)="Prov"),0,SUMIFS('Input_APM (Zenith)'!N:N,'Input_APM (Zenith)'!L:L,'Check (Zenith)'!B38,'Input_APM (Zenith)'!M:M,'Check (Zenith)'!$D$1)))</f>
        <v>0</v>
      </c>
      <c r="E38" s="212">
        <f t="shared" si="0"/>
        <v>0</v>
      </c>
    </row>
    <row r="39" spans="2:5">
      <c r="B39" t="s">
        <v>90</v>
      </c>
      <c r="C39" s="212">
        <f>IF(B39="","",IF(OR(LEFT(B39,4)="Cash",LEFT(B39,4)="Prov"),0,SUMIFS('Input_APM (Zenith)'!N:N,'Input_APM (Zenith)'!L:L,'Check (Zenith)'!B39,'Input_APM (Zenith)'!M:M,'Check (Zenith)'!$C$1)))</f>
        <v>270</v>
      </c>
      <c r="D39" s="212">
        <f>IF(B39="","",IF(OR(LEFT(B39,4)="Cash",LEFT(B39,4)="Prov"),0,SUMIFS('Input_APM (Zenith)'!N:N,'Input_APM (Zenith)'!L:L,'Check (Zenith)'!B39,'Input_APM (Zenith)'!M:M,'Check (Zenith)'!$D$1)))</f>
        <v>0</v>
      </c>
      <c r="E39" s="212">
        <f t="shared" si="0"/>
        <v>270</v>
      </c>
    </row>
    <row r="40" spans="2:5">
      <c r="B40" t="s">
        <v>132</v>
      </c>
      <c r="C40" s="212">
        <f>IF(B40="","",IF(OR(LEFT(B40,4)="Cash",LEFT(B40,4)="Prov"),0,SUMIFS('Input_APM (Zenith)'!N:N,'Input_APM (Zenith)'!L:L,'Check (Zenith)'!B40,'Input_APM (Zenith)'!M:M,'Check (Zenith)'!$C$1)))</f>
        <v>0</v>
      </c>
      <c r="D40" s="212">
        <f>IF(B40="","",IF(OR(LEFT(B40,4)="Cash",LEFT(B40,4)="Prov"),0,SUMIFS('Input_APM (Zenith)'!N:N,'Input_APM (Zenith)'!L:L,'Check (Zenith)'!B40,'Input_APM (Zenith)'!M:M,'Check (Zenith)'!$D$1)))</f>
        <v>0</v>
      </c>
      <c r="E40" s="212">
        <f t="shared" si="0"/>
        <v>0</v>
      </c>
    </row>
    <row r="41" spans="2:5">
      <c r="B41" t="s">
        <v>305</v>
      </c>
      <c r="C41" s="212">
        <f>IF(B41="","",IF(OR(LEFT(B41,4)="Cash",LEFT(B41,4)="Prov"),0,SUMIFS('Input_APM (Zenith)'!N:N,'Input_APM (Zenith)'!L:L,'Check (Zenith)'!B41,'Input_APM (Zenith)'!M:M,'Check (Zenith)'!$C$1)))</f>
        <v>0</v>
      </c>
      <c r="D41" s="212">
        <f>IF(B41="","",IF(OR(LEFT(B41,4)="Cash",LEFT(B41,4)="Prov"),0,SUMIFS('Input_APM (Zenith)'!N:N,'Input_APM (Zenith)'!L:L,'Check (Zenith)'!B41,'Input_APM (Zenith)'!M:M,'Check (Zenith)'!$D$1)))</f>
        <v>0</v>
      </c>
      <c r="E41" s="212">
        <f t="shared" si="0"/>
        <v>0</v>
      </c>
    </row>
    <row r="42" spans="2:5">
      <c r="B42" t="s">
        <v>336</v>
      </c>
      <c r="C42" s="212">
        <f>IF(B42="","",IF(OR(LEFT(B42,4)="Cash",LEFT(B42,4)="Prov"),0,SUMIFS('Input_APM (Zenith)'!N:N,'Input_APM (Zenith)'!L:L,'Check (Zenith)'!B42,'Input_APM (Zenith)'!M:M,'Check (Zenith)'!$C$1)))</f>
        <v>0</v>
      </c>
      <c r="D42" s="212">
        <f>IF(B42="","",IF(OR(LEFT(B42,4)="Cash",LEFT(B42,4)="Prov"),0,SUMIFS('Input_APM (Zenith)'!N:N,'Input_APM (Zenith)'!L:L,'Check (Zenith)'!B42,'Input_APM (Zenith)'!M:M,'Check (Zenith)'!$D$1)))</f>
        <v>0</v>
      </c>
      <c r="E42" s="212">
        <f t="shared" si="0"/>
        <v>0</v>
      </c>
    </row>
    <row r="43" spans="2:5">
      <c r="B43" t="s">
        <v>306</v>
      </c>
      <c r="C43" s="212">
        <f>IF(B43="","",IF(OR(LEFT(B43,4)="Cash",LEFT(B43,4)="Prov"),0,SUMIFS('Input_APM (Zenith)'!N:N,'Input_APM (Zenith)'!L:L,'Check (Zenith)'!B43,'Input_APM (Zenith)'!M:M,'Check (Zenith)'!$C$1)))</f>
        <v>0</v>
      </c>
      <c r="D43" s="212">
        <f>IF(B43="","",IF(OR(LEFT(B43,4)="Cash",LEFT(B43,4)="Prov"),0,SUMIFS('Input_APM (Zenith)'!N:N,'Input_APM (Zenith)'!L:L,'Check (Zenith)'!B43,'Input_APM (Zenith)'!M:M,'Check (Zenith)'!$D$1)))</f>
        <v>0</v>
      </c>
      <c r="E43" s="212">
        <f t="shared" si="0"/>
        <v>0</v>
      </c>
    </row>
    <row r="44" spans="2:5">
      <c r="B44" t="s">
        <v>337</v>
      </c>
      <c r="C44" s="212">
        <f>IF(B44="","",IF(OR(LEFT(B44,4)="Cash",LEFT(B44,4)="Prov"),0,SUMIFS('Input_APM (Zenith)'!N:N,'Input_APM (Zenith)'!L:L,'Check (Zenith)'!B44,'Input_APM (Zenith)'!M:M,'Check (Zenith)'!$C$1)))</f>
        <v>0</v>
      </c>
      <c r="D44" s="212">
        <f>IF(B44="","",IF(OR(LEFT(B44,4)="Cash",LEFT(B44,4)="Prov"),0,SUMIFS('Input_APM (Zenith)'!N:N,'Input_APM (Zenith)'!L:L,'Check (Zenith)'!B44,'Input_APM (Zenith)'!M:M,'Check (Zenith)'!$D$1)))</f>
        <v>0</v>
      </c>
      <c r="E44" s="212">
        <f t="shared" si="0"/>
        <v>0</v>
      </c>
    </row>
    <row r="45" spans="2:5">
      <c r="B45" t="s">
        <v>307</v>
      </c>
      <c r="C45" s="212">
        <f>IF(B45="","",IF(OR(LEFT(B45,4)="Cash",LEFT(B45,4)="Prov"),0,SUMIFS('Input_APM (Zenith)'!N:N,'Input_APM (Zenith)'!L:L,'Check (Zenith)'!B45,'Input_APM (Zenith)'!M:M,'Check (Zenith)'!$C$1)))</f>
        <v>0</v>
      </c>
      <c r="D45" s="212">
        <f>IF(B45="","",IF(OR(LEFT(B45,4)="Cash",LEFT(B45,4)="Prov"),0,SUMIFS('Input_APM (Zenith)'!N:N,'Input_APM (Zenith)'!L:L,'Check (Zenith)'!B45,'Input_APM (Zenith)'!M:M,'Check (Zenith)'!$D$1)))</f>
        <v>0</v>
      </c>
      <c r="E45" s="212">
        <f t="shared" si="0"/>
        <v>0</v>
      </c>
    </row>
    <row r="46" spans="2:5">
      <c r="B46" t="s">
        <v>135</v>
      </c>
      <c r="C46" s="212">
        <f>IF(B46="","",IF(OR(LEFT(B46,4)="Cash",LEFT(B46,4)="Prov"),0,SUMIFS('Input_APM (Zenith)'!N:N,'Input_APM (Zenith)'!L:L,'Check (Zenith)'!B46,'Input_APM (Zenith)'!M:M,'Check (Zenith)'!$C$1)))</f>
        <v>0</v>
      </c>
      <c r="D46" s="212">
        <f>IF(B46="","",IF(OR(LEFT(B46,4)="Cash",LEFT(B46,4)="Prov"),0,SUMIFS('Input_APM (Zenith)'!N:N,'Input_APM (Zenith)'!L:L,'Check (Zenith)'!B46,'Input_APM (Zenith)'!M:M,'Check (Zenith)'!$D$1)))</f>
        <v>0</v>
      </c>
      <c r="E46" s="212">
        <f t="shared" si="0"/>
        <v>0</v>
      </c>
    </row>
    <row r="47" spans="2:5">
      <c r="B47" t="s">
        <v>338</v>
      </c>
      <c r="C47" s="212">
        <f>IF(B47="","",IF(OR(LEFT(B47,4)="Cash",LEFT(B47,4)="Prov"),0,SUMIFS('Input_APM (Zenith)'!N:N,'Input_APM (Zenith)'!L:L,'Check (Zenith)'!B47,'Input_APM (Zenith)'!M:M,'Check (Zenith)'!$C$1)))</f>
        <v>0</v>
      </c>
      <c r="D47" s="212">
        <f>IF(B47="","",IF(OR(LEFT(B47,4)="Cash",LEFT(B47,4)="Prov"),0,SUMIFS('Input_APM (Zenith)'!N:N,'Input_APM (Zenith)'!L:L,'Check (Zenith)'!B47,'Input_APM (Zenith)'!M:M,'Check (Zenith)'!$D$1)))</f>
        <v>0</v>
      </c>
      <c r="E47" s="212">
        <f t="shared" si="0"/>
        <v>0</v>
      </c>
    </row>
    <row r="48" spans="2:5">
      <c r="B48" t="s">
        <v>3</v>
      </c>
      <c r="C48" s="212">
        <f>IF(B48="","",IF(OR(LEFT(B48,4)="Cash",LEFT(B48,4)="Prov"),0,SUMIFS('Input_APM (Zenith)'!N:N,'Input_APM (Zenith)'!L:L,'Check (Zenith)'!B48,'Input_APM (Zenith)'!M:M,'Check (Zenith)'!$C$1)))</f>
        <v>0</v>
      </c>
      <c r="D48" s="212">
        <f>IF(B48="","",IF(OR(LEFT(B48,4)="Cash",LEFT(B48,4)="Prov"),0,SUMIFS('Input_APM (Zenith)'!N:N,'Input_APM (Zenith)'!L:L,'Check (Zenith)'!B48,'Input_APM (Zenith)'!M:M,'Check (Zenith)'!$D$1)))</f>
        <v>0</v>
      </c>
      <c r="E48" s="212">
        <f t="shared" si="0"/>
        <v>0</v>
      </c>
    </row>
    <row r="49" spans="2:5">
      <c r="B49" t="s">
        <v>308</v>
      </c>
      <c r="C49" s="212">
        <f>IF(B49="","",IF(OR(LEFT(B49,4)="Cash",LEFT(B49,4)="Prov"),0,SUMIFS('Input_APM (Zenith)'!N:N,'Input_APM (Zenith)'!L:L,'Check (Zenith)'!B49,'Input_APM (Zenith)'!M:M,'Check (Zenith)'!$C$1)))</f>
        <v>0</v>
      </c>
      <c r="D49" s="212">
        <f>IF(B49="","",IF(OR(LEFT(B49,4)="Cash",LEFT(B49,4)="Prov"),0,SUMIFS('Input_APM (Zenith)'!N:N,'Input_APM (Zenith)'!L:L,'Check (Zenith)'!B49,'Input_APM (Zenith)'!M:M,'Check (Zenith)'!$D$1)))</f>
        <v>0</v>
      </c>
      <c r="E49" s="212">
        <f t="shared" si="0"/>
        <v>0</v>
      </c>
    </row>
    <row r="50" spans="2:5">
      <c r="B50" t="s">
        <v>95</v>
      </c>
      <c r="C50" s="212">
        <f>IF(B50="","",IF(OR(LEFT(B50,4)="Cash",LEFT(B50,4)="Prov"),0,SUMIFS('Input_APM (Zenith)'!N:N,'Input_APM (Zenith)'!L:L,'Check (Zenith)'!B50,'Input_APM (Zenith)'!M:M,'Check (Zenith)'!$C$1)))</f>
        <v>0</v>
      </c>
      <c r="D50" s="212">
        <f>IF(B50="","",IF(OR(LEFT(B50,4)="Cash",LEFT(B50,4)="Prov"),0,SUMIFS('Input_APM (Zenith)'!N:N,'Input_APM (Zenith)'!L:L,'Check (Zenith)'!B50,'Input_APM (Zenith)'!M:M,'Check (Zenith)'!$D$1)))</f>
        <v>0</v>
      </c>
      <c r="E50" s="212">
        <f t="shared" si="0"/>
        <v>0</v>
      </c>
    </row>
    <row r="51" spans="2:5">
      <c r="B51" t="s">
        <v>309</v>
      </c>
      <c r="C51" s="212">
        <f>IF(B51="","",IF(OR(LEFT(B51,4)="Cash",LEFT(B51,4)="Prov"),0,SUMIFS('Input_APM (Zenith)'!N:N,'Input_APM (Zenith)'!L:L,'Check (Zenith)'!B51,'Input_APM (Zenith)'!M:M,'Check (Zenith)'!$C$1)))</f>
        <v>0</v>
      </c>
      <c r="D51" s="212">
        <f>IF(B51="","",IF(OR(LEFT(B51,4)="Cash",LEFT(B51,4)="Prov"),0,SUMIFS('Input_APM (Zenith)'!N:N,'Input_APM (Zenith)'!L:L,'Check (Zenith)'!B51,'Input_APM (Zenith)'!M:M,'Check (Zenith)'!$D$1)))</f>
        <v>0</v>
      </c>
      <c r="E51" s="212">
        <f t="shared" si="0"/>
        <v>0</v>
      </c>
    </row>
    <row r="52" spans="2:5">
      <c r="B52" t="s">
        <v>310</v>
      </c>
      <c r="C52" s="212">
        <f>IF(B52="","",IF(OR(LEFT(B52,4)="Cash",LEFT(B52,4)="Prov"),0,SUMIFS('Input_APM (Zenith)'!N:N,'Input_APM (Zenith)'!L:L,'Check (Zenith)'!B52,'Input_APM (Zenith)'!M:M,'Check (Zenith)'!$C$1)))</f>
        <v>0</v>
      </c>
      <c r="D52" s="212">
        <f>IF(B52="","",IF(OR(LEFT(B52,4)="Cash",LEFT(B52,4)="Prov"),0,SUMIFS('Input_APM (Zenith)'!N:N,'Input_APM (Zenith)'!L:L,'Check (Zenith)'!B52,'Input_APM (Zenith)'!M:M,'Check (Zenith)'!$D$1)))</f>
        <v>0</v>
      </c>
      <c r="E52" s="212">
        <f t="shared" si="0"/>
        <v>0</v>
      </c>
    </row>
    <row r="53" spans="2:5">
      <c r="B53" t="s">
        <v>96</v>
      </c>
      <c r="C53" s="212">
        <f>IF(B53="","",IF(OR(LEFT(B53,4)="Cash",LEFT(B53,4)="Prov"),0,SUMIFS('Input_APM (Zenith)'!N:N,'Input_APM (Zenith)'!L:L,'Check (Zenith)'!B53,'Input_APM (Zenith)'!M:M,'Check (Zenith)'!$C$1)))</f>
        <v>90</v>
      </c>
      <c r="D53" s="212">
        <f>IF(B53="","",IF(OR(LEFT(B53,4)="Cash",LEFT(B53,4)="Prov"),0,SUMIFS('Input_APM (Zenith)'!N:N,'Input_APM (Zenith)'!L:L,'Check (Zenith)'!B53,'Input_APM (Zenith)'!M:M,'Check (Zenith)'!$D$1)))</f>
        <v>0</v>
      </c>
      <c r="E53" s="212">
        <f t="shared" si="0"/>
        <v>90</v>
      </c>
    </row>
    <row r="54" spans="2:5">
      <c r="B54" t="s">
        <v>87</v>
      </c>
      <c r="C54" s="212">
        <f>IF(B54="","",IF(OR(LEFT(B54,4)="Cash",LEFT(B54,4)="Prov"),0,SUMIFS('Input_APM (Zenith)'!N:N,'Input_APM (Zenith)'!L:L,'Check (Zenith)'!B54,'Input_APM (Zenith)'!M:M,'Check (Zenith)'!$C$1)))</f>
        <v>0</v>
      </c>
      <c r="D54" s="212">
        <f>IF(B54="","",IF(OR(LEFT(B54,4)="Cash",LEFT(B54,4)="Prov"),0,SUMIFS('Input_APM (Zenith)'!N:N,'Input_APM (Zenith)'!L:L,'Check (Zenith)'!B54,'Input_APM (Zenith)'!M:M,'Check (Zenith)'!$D$1)))</f>
        <v>0</v>
      </c>
      <c r="E54" s="212">
        <f t="shared" si="0"/>
        <v>0</v>
      </c>
    </row>
    <row r="55" spans="2:5">
      <c r="B55" t="s">
        <v>311</v>
      </c>
      <c r="C55" s="212" t="str">
        <f>IF(B55="","",IF(OR(LEFT(B55,4)="Cash",LEFT(B55,4)="Prov"),0,SUMIFS('Input_APM (Zenith)'!N:N,'Input_APM (Zenith)'!L:L,'Check (Zenith)'!B55,'Input_APM (Zenith)'!M:M,'Check (Zenith)'!$C$1)))</f>
        <v/>
      </c>
      <c r="D55" s="212" t="str">
        <f>IF(B55="","",IF(OR(LEFT(B55,4)="Cash",LEFT(B55,4)="Prov"),0,SUMIFS('Input_APM (Zenith)'!N:N,'Input_APM (Zenith)'!L:L,'Check (Zenith)'!B55,'Input_APM (Zenith)'!M:M,'Check (Zenith)'!$D$1)))</f>
        <v/>
      </c>
      <c r="E55" s="212" t="str">
        <f t="shared" si="0"/>
        <v/>
      </c>
    </row>
    <row r="56" spans="2:5">
      <c r="C56" s="212" t="str">
        <f>IF(B56="","",IF(OR(LEFT(B56,4)="Cash",LEFT(B56,4)="Prov"),0,SUMIFS('Input_APM (Zenith)'!N:N,'Input_APM (Zenith)'!L:L,'Check (Zenith)'!B56,'Input_APM (Zenith)'!M:M,'Check (Zenith)'!$C$1)))</f>
        <v/>
      </c>
      <c r="D56" s="212" t="str">
        <f>IF(B56="","",IF(OR(LEFT(B56,4)="Cash",LEFT(B56,4)="Prov"),0,SUMIFS('Input_APM (Zenith)'!N:N,'Input_APM (Zenith)'!L:L,'Check (Zenith)'!B56,'Input_APM (Zenith)'!M:M,'Check (Zenith)'!$D$1)))</f>
        <v/>
      </c>
      <c r="E56" s="212" t="str">
        <f t="shared" si="0"/>
        <v/>
      </c>
    </row>
    <row r="57" spans="2:5">
      <c r="C57" s="212" t="str">
        <f>IF(B57="","",IF(OR(LEFT(B57,4)="Cash",LEFT(B57,4)="Prov"),0,SUMIFS('Input_APM (Zenith)'!N:N,'Input_APM (Zenith)'!L:L,'Check (Zenith)'!B57,'Input_APM (Zenith)'!M:M,'Check (Zenith)'!$C$1)))</f>
        <v/>
      </c>
      <c r="D57" s="212" t="str">
        <f>IF(B57="","",IF(OR(LEFT(B57,4)="Cash",LEFT(B57,4)="Prov"),0,SUMIFS('Input_APM (Zenith)'!N:N,'Input_APM (Zenith)'!L:L,'Check (Zenith)'!B57,'Input_APM (Zenith)'!M:M,'Check (Zenith)'!$D$1)))</f>
        <v/>
      </c>
      <c r="E57" s="212" t="str">
        <f t="shared" si="0"/>
        <v/>
      </c>
    </row>
    <row r="58" spans="2:5">
      <c r="C58" s="212" t="str">
        <f>IF(B58="","",IF(OR(LEFT(B58,4)="Cash",LEFT(B58,4)="Prov"),0,SUMIFS('Input_APM (Zenith)'!N:N,'Input_APM (Zenith)'!L:L,'Check (Zenith)'!B58,'Input_APM (Zenith)'!M:M,'Check (Zenith)'!$C$1)))</f>
        <v/>
      </c>
      <c r="D58" s="212" t="str">
        <f>IF(B58="","",IF(OR(LEFT(B58,4)="Cash",LEFT(B58,4)="Prov"),0,SUMIFS('Input_APM (Zenith)'!N:N,'Input_APM (Zenith)'!L:L,'Check (Zenith)'!B58,'Input_APM (Zenith)'!M:M,'Check (Zenith)'!$D$1)))</f>
        <v/>
      </c>
      <c r="E58" s="212" t="str">
        <f t="shared" si="0"/>
        <v/>
      </c>
    </row>
    <row r="59" spans="2:5">
      <c r="C59" s="212" t="str">
        <f>IF(B59="","",IF(OR(LEFT(B59,4)="Cash",LEFT(B59,4)="Prov"),0,SUMIFS('Input_APM (Zenith)'!N:N,'Input_APM (Zenith)'!L:L,'Check (Zenith)'!B59,'Input_APM (Zenith)'!M:M,'Check (Zenith)'!$C$1)))</f>
        <v/>
      </c>
      <c r="D59" s="212" t="str">
        <f>IF(B59="","",IF(OR(LEFT(B59,4)="Cash",LEFT(B59,4)="Prov"),0,SUMIFS('Input_APM (Zenith)'!N:N,'Input_APM (Zenith)'!L:L,'Check (Zenith)'!B59,'Input_APM (Zenith)'!M:M,'Check (Zenith)'!$D$1)))</f>
        <v/>
      </c>
      <c r="E59" s="212" t="str">
        <f t="shared" si="0"/>
        <v/>
      </c>
    </row>
    <row r="60" spans="2:5">
      <c r="C60" s="212" t="str">
        <f>IF(B60="","",IF(OR(LEFT(B60,4)="Cash",LEFT(B60,4)="Prov"),0,SUMIFS('Input_APM (Zenith)'!N:N,'Input_APM (Zenith)'!L:L,'Check (Zenith)'!B60,'Input_APM (Zenith)'!M:M,'Check (Zenith)'!$C$1)))</f>
        <v/>
      </c>
      <c r="D60" s="212" t="str">
        <f>IF(B60="","",IF(OR(LEFT(B60,4)="Cash",LEFT(B60,4)="Prov"),0,SUMIFS('Input_APM (Zenith)'!N:N,'Input_APM (Zenith)'!L:L,'Check (Zenith)'!B60,'Input_APM (Zenith)'!M:M,'Check (Zenith)'!$D$1)))</f>
        <v/>
      </c>
      <c r="E60" s="212" t="str">
        <f t="shared" si="0"/>
        <v/>
      </c>
    </row>
    <row r="61" spans="2:5">
      <c r="C61" s="212" t="str">
        <f>IF(B61="","",IF(OR(LEFT(B61,4)="Cash",LEFT(B61,4)="Prov"),0,SUMIFS('Input_APM (Zenith)'!N:N,'Input_APM (Zenith)'!L:L,'Check (Zenith)'!B61,'Input_APM (Zenith)'!M:M,'Check (Zenith)'!$C$1)))</f>
        <v/>
      </c>
      <c r="D61" s="212" t="str">
        <f>IF(B61="","",IF(OR(LEFT(B61,4)="Cash",LEFT(B61,4)="Prov"),0,SUMIFS('Input_APM (Zenith)'!N:N,'Input_APM (Zenith)'!L:L,'Check (Zenith)'!B61,'Input_APM (Zenith)'!M:M,'Check (Zenith)'!$D$1)))</f>
        <v/>
      </c>
      <c r="E61" s="212" t="str">
        <f t="shared" si="0"/>
        <v/>
      </c>
    </row>
    <row r="62" spans="2:5">
      <c r="C62" s="212" t="str">
        <f>IF(B62="","",IF(OR(LEFT(B62,4)="Cash",LEFT(B62,4)="Prov"),0,SUMIFS('Input_APM (Zenith)'!N:N,'Input_APM (Zenith)'!L:L,'Check (Zenith)'!B62,'Input_APM (Zenith)'!M:M,'Check (Zenith)'!$C$1)))</f>
        <v/>
      </c>
      <c r="D62" s="212" t="str">
        <f>IF(B62="","",IF(OR(LEFT(B62,4)="Cash",LEFT(B62,4)="Prov"),0,SUMIFS('Input_APM (Zenith)'!N:N,'Input_APM (Zenith)'!L:L,'Check (Zenith)'!B62,'Input_APM (Zenith)'!M:M,'Check (Zenith)'!$D$1)))</f>
        <v/>
      </c>
      <c r="E62" s="212" t="str">
        <f t="shared" si="0"/>
        <v/>
      </c>
    </row>
    <row r="63" spans="2:5">
      <c r="C63" s="212" t="str">
        <f>IF(B63="","",IF(OR(LEFT(B63,4)="Cash",LEFT(B63,4)="Prov"),0,SUMIFS('Input_APM (Zenith)'!N:N,'Input_APM (Zenith)'!L:L,'Check (Zenith)'!B63,'Input_APM (Zenith)'!M:M,'Check (Zenith)'!$C$1)))</f>
        <v/>
      </c>
      <c r="D63" s="212" t="str">
        <f>IF(B63="","",IF(OR(LEFT(B63,4)="Cash",LEFT(B63,4)="Prov"),0,SUMIFS('Input_APM (Zenith)'!N:N,'Input_APM (Zenith)'!L:L,'Check (Zenith)'!B63,'Input_APM (Zenith)'!M:M,'Check (Zenith)'!$D$1)))</f>
        <v/>
      </c>
      <c r="E63" s="212" t="str">
        <f t="shared" si="0"/>
        <v/>
      </c>
    </row>
    <row r="64" spans="2:5">
      <c r="C64" s="212" t="str">
        <f>IF(B64="","",IF(OR(LEFT(B64,4)="Cash",LEFT(B64,4)="Prov"),0,SUMIFS('Input_APM (Zenith)'!N:N,'Input_APM (Zenith)'!L:L,'Check (Zenith)'!B64,'Input_APM (Zenith)'!M:M,'Check (Zenith)'!$C$1)))</f>
        <v/>
      </c>
      <c r="D64" s="212" t="str">
        <f>IF(B64="","",IF(OR(LEFT(B64,4)="Cash",LEFT(B64,4)="Prov"),0,SUMIFS('Input_APM (Zenith)'!N:N,'Input_APM (Zenith)'!L:L,'Check (Zenith)'!B64,'Input_APM (Zenith)'!M:M,'Check (Zenith)'!$D$1)))</f>
        <v/>
      </c>
      <c r="E64" s="212" t="str">
        <f t="shared" si="0"/>
        <v/>
      </c>
    </row>
    <row r="65" spans="3:5">
      <c r="C65" s="212" t="str">
        <f>IF(B65="","",IF(OR(LEFT(B65,4)="Cash",LEFT(B65,4)="Prov"),0,SUMIFS('Input_APM (Zenith)'!N:N,'Input_APM (Zenith)'!L:L,'Check (Zenith)'!B65,'Input_APM (Zenith)'!M:M,'Check (Zenith)'!$C$1)))</f>
        <v/>
      </c>
      <c r="D65" s="212" t="str">
        <f>IF(B65="","",IF(OR(LEFT(B65,4)="Cash",LEFT(B65,4)="Prov"),0,SUMIFS('Input_APM (Zenith)'!N:N,'Input_APM (Zenith)'!L:L,'Check (Zenith)'!B65,'Input_APM (Zenith)'!M:M,'Check (Zenith)'!$D$1)))</f>
        <v/>
      </c>
      <c r="E65" s="212" t="str">
        <f t="shared" si="0"/>
        <v/>
      </c>
    </row>
    <row r="66" spans="3:5">
      <c r="C66" s="212" t="str">
        <f>IF(B66="","",IF(OR(LEFT(B66,4)="Cash",LEFT(B66,4)="Prov"),0,SUMIFS('Input_APM (Zenith)'!N:N,'Input_APM (Zenith)'!L:L,'Check (Zenith)'!B66,'Input_APM (Zenith)'!M:M,'Check (Zenith)'!$C$1)))</f>
        <v/>
      </c>
      <c r="D66" s="212" t="str">
        <f>IF(B66="","",IF(OR(LEFT(B66,4)="Cash",LEFT(B66,4)="Prov"),0,SUMIFS('Input_APM (Zenith)'!N:N,'Input_APM (Zenith)'!L:L,'Check (Zenith)'!B66,'Input_APM (Zenith)'!M:M,'Check (Zenith)'!$D$1)))</f>
        <v/>
      </c>
      <c r="E66" s="212" t="str">
        <f t="shared" si="0"/>
        <v/>
      </c>
    </row>
    <row r="67" spans="3:5">
      <c r="C67" s="212" t="str">
        <f>IF(B67="","",IF(OR(LEFT(B67,4)="Cash",LEFT(B67,4)="Prov"),0,SUMIFS('Input_APM (Zenith)'!N:N,'Input_APM (Zenith)'!L:L,'Check (Zenith)'!B67,'Input_APM (Zenith)'!M:M,'Check (Zenith)'!$C$1)))</f>
        <v/>
      </c>
      <c r="D67" s="212" t="str">
        <f>IF(B67="","",IF(OR(LEFT(B67,4)="Cash",LEFT(B67,4)="Prov"),0,SUMIFS('Input_APM (Zenith)'!N:N,'Input_APM (Zenith)'!L:L,'Check (Zenith)'!B67,'Input_APM (Zenith)'!M:M,'Check (Zenith)'!$D$1)))</f>
        <v/>
      </c>
      <c r="E67" s="212" t="str">
        <f t="shared" si="0"/>
        <v/>
      </c>
    </row>
    <row r="68" spans="3:5">
      <c r="C68" s="212" t="str">
        <f>IF(B68="","",IF(OR(LEFT(B68,4)="Cash",LEFT(B68,4)="Prov"),0,SUMIFS('Input_APM (Zenith)'!N:N,'Input_APM (Zenith)'!L:L,'Check (Zenith)'!B68,'Input_APM (Zenith)'!M:M,'Check (Zenith)'!$C$1)))</f>
        <v/>
      </c>
      <c r="D68" s="212" t="str">
        <f>IF(B68="","",IF(OR(LEFT(B68,4)="Cash",LEFT(B68,4)="Prov"),0,SUMIFS('Input_APM (Zenith)'!N:N,'Input_APM (Zenith)'!L:L,'Check (Zenith)'!B68,'Input_APM (Zenith)'!M:M,'Check (Zenith)'!$D$1)))</f>
        <v/>
      </c>
      <c r="E68" s="212" t="str">
        <f t="shared" si="0"/>
        <v/>
      </c>
    </row>
    <row r="69" spans="3:5">
      <c r="C69" s="212" t="str">
        <f>IF(B69="","",IF(OR(LEFT(B69,4)="Cash",LEFT(B69,4)="Prov"),0,SUMIFS('Input_APM (Zenith)'!N:N,'Input_APM (Zenith)'!L:L,'Check (Zenith)'!B69,'Input_APM (Zenith)'!M:M,'Check (Zenith)'!$C$1)))</f>
        <v/>
      </c>
      <c r="D69" s="212" t="str">
        <f>IF(B69="","",IF(OR(LEFT(B69,4)="Cash",LEFT(B69,4)="Prov"),0,SUMIFS('Input_APM (Zenith)'!N:N,'Input_APM (Zenith)'!L:L,'Check (Zenith)'!B69,'Input_APM (Zenith)'!M:M,'Check (Zenith)'!$D$1)))</f>
        <v/>
      </c>
      <c r="E69" s="212" t="str">
        <f t="shared" si="0"/>
        <v/>
      </c>
    </row>
    <row r="70" spans="3:5">
      <c r="C70" s="212" t="str">
        <f>IF(B70="","",IF(OR(LEFT(B70,4)="Cash",LEFT(B70,4)="Prov"),0,SUMIFS('Input_APM (Zenith)'!N:N,'Input_APM (Zenith)'!L:L,'Check (Zenith)'!B70,'Input_APM (Zenith)'!M:M,'Check (Zenith)'!$C$1)))</f>
        <v/>
      </c>
      <c r="D70" s="212" t="str">
        <f>IF(B70="","",IF(OR(LEFT(B70,4)="Cash",LEFT(B70,4)="Prov"),0,SUMIFS('Input_APM (Zenith)'!N:N,'Input_APM (Zenith)'!L:L,'Check (Zenith)'!B70,'Input_APM (Zenith)'!M:M,'Check (Zenith)'!$D$1)))</f>
        <v/>
      </c>
      <c r="E70" s="212" t="str">
        <f t="shared" ref="E70:E81" si="1">IF(B70="","",C70-D70)</f>
        <v/>
      </c>
    </row>
    <row r="71" spans="3:5">
      <c r="C71" s="212" t="str">
        <f>IF(B71="","",IF(OR(LEFT(B71,4)="Cash",LEFT(B71,4)="Prov"),0,SUMIFS('Input_APM (Zenith)'!N:N,'Input_APM (Zenith)'!L:L,'Check (Zenith)'!B71,'Input_APM (Zenith)'!M:M,'Check (Zenith)'!$C$1)))</f>
        <v/>
      </c>
      <c r="D71" s="212" t="str">
        <f>IF(B71="","",IF(OR(LEFT(B71,4)="Cash",LEFT(B71,4)="Prov"),0,SUMIFS('Input_APM (Zenith)'!N:N,'Input_APM (Zenith)'!L:L,'Check (Zenith)'!B71,'Input_APM (Zenith)'!M:M,'Check (Zenith)'!$D$1)))</f>
        <v/>
      </c>
      <c r="E71" s="212" t="str">
        <f t="shared" si="1"/>
        <v/>
      </c>
    </row>
    <row r="72" spans="3:5">
      <c r="C72" s="212" t="str">
        <f>IF(B72="","",IF(OR(LEFT(B72,4)="Cash",LEFT(B72,4)="Prov"),0,SUMIFS('Input_APM (Zenith)'!N:N,'Input_APM (Zenith)'!L:L,'Check (Zenith)'!B72,'Input_APM (Zenith)'!M:M,'Check (Zenith)'!$C$1)))</f>
        <v/>
      </c>
      <c r="D72" s="212" t="str">
        <f>IF(B72="","",IF(OR(LEFT(B72,4)="Cash",LEFT(B72,4)="Prov"),0,SUMIFS('Input_APM (Zenith)'!N:N,'Input_APM (Zenith)'!L:L,'Check (Zenith)'!B72,'Input_APM (Zenith)'!M:M,'Check (Zenith)'!$D$1)))</f>
        <v/>
      </c>
      <c r="E72" s="212" t="str">
        <f t="shared" si="1"/>
        <v/>
      </c>
    </row>
    <row r="73" spans="3:5">
      <c r="C73" s="212" t="str">
        <f>IF(B73="","",IF(OR(LEFT(B73,4)="Cash",LEFT(B73,4)="Prov"),0,SUMIFS('Input_APM (Zenith)'!N:N,'Input_APM (Zenith)'!L:L,'Check (Zenith)'!B73,'Input_APM (Zenith)'!M:M,'Check (Zenith)'!$C$1)))</f>
        <v/>
      </c>
      <c r="D73" s="212" t="str">
        <f>IF(B73="","",IF(OR(LEFT(B73,4)="Cash",LEFT(B73,4)="Prov"),0,SUMIFS('Input_APM (Zenith)'!N:N,'Input_APM (Zenith)'!L:L,'Check (Zenith)'!B73,'Input_APM (Zenith)'!M:M,'Check (Zenith)'!$D$1)))</f>
        <v/>
      </c>
      <c r="E73" s="212" t="str">
        <f t="shared" si="1"/>
        <v/>
      </c>
    </row>
    <row r="74" spans="3:5">
      <c r="C74" s="212" t="str">
        <f>IF(B74="","",IF(OR(LEFT(B74,4)="Cash",LEFT(B74,4)="Prov"),0,SUMIFS('Input_APM (Zenith)'!N:N,'Input_APM (Zenith)'!L:L,'Check (Zenith)'!B74,'Input_APM (Zenith)'!M:M,'Check (Zenith)'!$C$1)))</f>
        <v/>
      </c>
      <c r="D74" s="212" t="str">
        <f>IF(B74="","",IF(OR(LEFT(B74,4)="Cash",LEFT(B74,4)="Prov"),0,SUMIFS('Input_APM (Zenith)'!N:N,'Input_APM (Zenith)'!L:L,'Check (Zenith)'!B74,'Input_APM (Zenith)'!M:M,'Check (Zenith)'!$D$1)))</f>
        <v/>
      </c>
      <c r="E74" s="212" t="str">
        <f t="shared" si="1"/>
        <v/>
      </c>
    </row>
    <row r="75" spans="3:5">
      <c r="C75" s="212" t="str">
        <f>IF(B75="","",IF(OR(LEFT(B75,4)="Cash",LEFT(B75,4)="Prov"),0,SUMIFS('Input_APM (Zenith)'!N:N,'Input_APM (Zenith)'!L:L,'Check (Zenith)'!B75,'Input_APM (Zenith)'!M:M,'Check (Zenith)'!$C$1)))</f>
        <v/>
      </c>
      <c r="D75" s="212" t="str">
        <f>IF(B75="","",IF(OR(LEFT(B75,4)="Cash",LEFT(B75,4)="Prov"),0,SUMIFS('Input_APM (Zenith)'!N:N,'Input_APM (Zenith)'!L:L,'Check (Zenith)'!B75,'Input_APM (Zenith)'!M:M,'Check (Zenith)'!$D$1)))</f>
        <v/>
      </c>
      <c r="E75" s="212" t="str">
        <f t="shared" si="1"/>
        <v/>
      </c>
    </row>
    <row r="76" spans="3:5">
      <c r="C76" s="212" t="str">
        <f>IF(B76="","",IF(OR(LEFT(B76,4)="Cash",LEFT(B76,4)="Prov"),0,SUMIFS('Input_APM (Zenith)'!N:N,'Input_APM (Zenith)'!L:L,'Check (Zenith)'!B76,'Input_APM (Zenith)'!M:M,'Check (Zenith)'!$C$1)))</f>
        <v/>
      </c>
      <c r="D76" s="212" t="str">
        <f>IF(B76="","",IF(OR(LEFT(B76,4)="Cash",LEFT(B76,4)="Prov"),0,SUMIFS('Input_APM (Zenith)'!N:N,'Input_APM (Zenith)'!L:L,'Check (Zenith)'!B76,'Input_APM (Zenith)'!M:M,'Check (Zenith)'!$D$1)))</f>
        <v/>
      </c>
      <c r="E76" s="212" t="str">
        <f t="shared" si="1"/>
        <v/>
      </c>
    </row>
    <row r="77" spans="3:5">
      <c r="C77" s="212" t="str">
        <f>IF(B77="","",IF(OR(LEFT(B77,4)="Cash",LEFT(B77,4)="Prov"),0,SUMIFS('Input_APM (Zenith)'!N:N,'Input_APM (Zenith)'!L:L,'Check (Zenith)'!B77,'Input_APM (Zenith)'!M:M,'Check (Zenith)'!$C$1)))</f>
        <v/>
      </c>
      <c r="D77" s="212" t="str">
        <f>IF(B77="","",IF(OR(LEFT(B77,4)="Cash",LEFT(B77,4)="Prov"),0,SUMIFS('Input_APM (Zenith)'!N:N,'Input_APM (Zenith)'!L:L,'Check (Zenith)'!B77,'Input_APM (Zenith)'!M:M,'Check (Zenith)'!$D$1)))</f>
        <v/>
      </c>
      <c r="E77" s="212" t="str">
        <f t="shared" si="1"/>
        <v/>
      </c>
    </row>
    <row r="78" spans="3:5">
      <c r="C78" s="212" t="str">
        <f>IF(B78="","",IF(OR(LEFT(B78,4)="Cash",LEFT(B78,4)="Prov"),0,SUMIFS('Input_APM (Zenith)'!N:N,'Input_APM (Zenith)'!L:L,'Check (Zenith)'!B78,'Input_APM (Zenith)'!M:M,'Check (Zenith)'!$C$1)))</f>
        <v/>
      </c>
      <c r="D78" s="212" t="str">
        <f>IF(B78="","",IF(OR(LEFT(B78,4)="Cash",LEFT(B78,4)="Prov"),0,SUMIFS('Input_APM (Zenith)'!N:N,'Input_APM (Zenith)'!L:L,'Check (Zenith)'!B78,'Input_APM (Zenith)'!M:M,'Check (Zenith)'!$D$1)))</f>
        <v/>
      </c>
      <c r="E78" s="212" t="str">
        <f t="shared" si="1"/>
        <v/>
      </c>
    </row>
    <row r="79" spans="3:5">
      <c r="C79" s="212" t="str">
        <f>IF(B79="","",IF(OR(LEFT(B79,4)="Cash",LEFT(B79,4)="Prov"),0,SUMIFS('Input_APM (Zenith)'!N:N,'Input_APM (Zenith)'!L:L,'Check (Zenith)'!B79,'Input_APM (Zenith)'!M:M,'Check (Zenith)'!$C$1)))</f>
        <v/>
      </c>
      <c r="D79" s="212" t="str">
        <f>IF(B79="","",IF(OR(LEFT(B79,4)="Cash",LEFT(B79,4)="Prov"),0,SUMIFS('Input_APM (Zenith)'!N:N,'Input_APM (Zenith)'!L:L,'Check (Zenith)'!B79,'Input_APM (Zenith)'!M:M,'Check (Zenith)'!$D$1)))</f>
        <v/>
      </c>
      <c r="E79" s="212" t="str">
        <f t="shared" si="1"/>
        <v/>
      </c>
    </row>
    <row r="80" spans="3:5">
      <c r="C80" s="212" t="str">
        <f>IF(B80="","",IF(OR(LEFT(B80,4)="Cash",LEFT(B80,4)="Prov"),0,SUMIFS('Input_APM (Zenith)'!N:N,'Input_APM (Zenith)'!L:L,'Check (Zenith)'!B80,'Input_APM (Zenith)'!M:M,'Check (Zenith)'!$C$1)))</f>
        <v/>
      </c>
      <c r="D80" s="212" t="str">
        <f>IF(B80="","",IF(OR(LEFT(B80,4)="Cash",LEFT(B80,4)="Prov"),0,SUMIFS('Input_APM (Zenith)'!N:N,'Input_APM (Zenith)'!L:L,'Check (Zenith)'!B80,'Input_APM (Zenith)'!M:M,'Check (Zenith)'!$D$1)))</f>
        <v/>
      </c>
      <c r="E80" s="212" t="str">
        <f t="shared" si="1"/>
        <v/>
      </c>
    </row>
    <row r="81" spans="3:5">
      <c r="C81" s="212" t="str">
        <f>IF(B81="","",IF(OR(LEFT(B81,4)="Cash",LEFT(B81,4)="Prov"),0,SUMIFS('Input_APM (Zenith)'!N:N,'Input_APM (Zenith)'!L:L,'Check (Zenith)'!B81,'Input_APM (Zenith)'!M:M,'Check (Zenith)'!$C$1)))</f>
        <v/>
      </c>
      <c r="D81" s="212" t="str">
        <f>IF(B81="","",IF(OR(LEFT(B81,4)="Cash",LEFT(B81,4)="Prov"),0,SUMIFS('Input_APM (Zenith)'!N:N,'Input_APM (Zenith)'!L:L,'Check (Zenith)'!B81,'Input_APM (Zenith)'!M:M,'Check (Zenith)'!$D$1)))</f>
        <v/>
      </c>
      <c r="E81" s="212" t="str">
        <f t="shared" si="1"/>
        <v/>
      </c>
    </row>
    <row r="82" spans="3:5">
      <c r="C82" s="212" t="str">
        <f>IF(B82="","",IF(OR(LEFT(B82,4)="Cash",LEFT(B82,4)="Prov"),0,SUMIFS('Input_APM (Zenith)'!N:N,'Input_APM (Zenith)'!L:L,'Check (Zenith)'!B82,'Input_APM (Zenith)'!M:M,'Check (Zenith)'!$C$1)))</f>
        <v/>
      </c>
      <c r="D82" s="212" t="str">
        <f>IF(B82="","",IF(OR(LEFT(B82,4)="Cash",LEFT(B82,4)="Prov"),0,SUMIFS('Input_APM (Zenith)'!N:N,'Input_APM (Zenith)'!L:L,'Check (Zenith)'!B82,'Input_APM (Zenith)'!M:M,'Check (Zenith)'!$D$1)))</f>
        <v/>
      </c>
      <c r="E82" s="212" t="str">
        <f t="shared" ref="E82:E145" si="2">IF(B82="","",C82-D82)</f>
        <v/>
      </c>
    </row>
    <row r="83" spans="3:5">
      <c r="C83" s="212" t="str">
        <f>IF(B83="","",IF(OR(LEFT(B83,4)="Cash",LEFT(B83,4)="Prov"),0,SUMIFS('Input_APM (Zenith)'!N:N,'Input_APM (Zenith)'!L:L,'Check (Zenith)'!B83,'Input_APM (Zenith)'!M:M,'Check (Zenith)'!$C$1)))</f>
        <v/>
      </c>
      <c r="D83" s="212" t="str">
        <f>IF(B83="","",IF(OR(LEFT(B83,4)="Cash",LEFT(B83,4)="Prov"),0,SUMIFS('Input_APM (Zenith)'!N:N,'Input_APM (Zenith)'!L:L,'Check (Zenith)'!B83,'Input_APM (Zenith)'!M:M,'Check (Zenith)'!$D$1)))</f>
        <v/>
      </c>
      <c r="E83" s="212" t="str">
        <f t="shared" si="2"/>
        <v/>
      </c>
    </row>
    <row r="84" spans="3:5">
      <c r="C84" s="212" t="str">
        <f>IF(B84="","",IF(OR(LEFT(B84,4)="Cash",LEFT(B84,4)="Prov"),0,SUMIFS('Input_APM (Zenith)'!N:N,'Input_APM (Zenith)'!L:L,'Check (Zenith)'!B84,'Input_APM (Zenith)'!M:M,'Check (Zenith)'!$C$1)))</f>
        <v/>
      </c>
      <c r="D84" s="212" t="str">
        <f>IF(B84="","",IF(OR(LEFT(B84,4)="Cash",LEFT(B84,4)="Prov"),0,SUMIFS('Input_APM (Zenith)'!N:N,'Input_APM (Zenith)'!L:L,'Check (Zenith)'!B84,'Input_APM (Zenith)'!M:M,'Check (Zenith)'!$D$1)))</f>
        <v/>
      </c>
      <c r="E84" s="212" t="str">
        <f t="shared" si="2"/>
        <v/>
      </c>
    </row>
    <row r="85" spans="3:5">
      <c r="C85" s="212" t="str">
        <f>IF(B85="","",IF(OR(LEFT(B85,4)="Cash",LEFT(B85,4)="Prov"),0,SUMIFS('Input_APM (Zenith)'!N:N,'Input_APM (Zenith)'!L:L,'Check (Zenith)'!B85,'Input_APM (Zenith)'!M:M,'Check (Zenith)'!$C$1)))</f>
        <v/>
      </c>
      <c r="D85" s="212" t="str">
        <f>IF(B85="","",IF(OR(LEFT(B85,4)="Cash",LEFT(B85,4)="Prov"),0,SUMIFS('Input_APM (Zenith)'!N:N,'Input_APM (Zenith)'!L:L,'Check (Zenith)'!B85,'Input_APM (Zenith)'!M:M,'Check (Zenith)'!$D$1)))</f>
        <v/>
      </c>
      <c r="E85" s="212" t="str">
        <f t="shared" si="2"/>
        <v/>
      </c>
    </row>
    <row r="86" spans="3:5">
      <c r="C86" s="212" t="str">
        <f>IF(B86="","",IF(OR(LEFT(B86,4)="Cash",LEFT(B86,4)="Prov"),0,SUMIFS('Input_APM (Zenith)'!N:N,'Input_APM (Zenith)'!L:L,'Check (Zenith)'!B86,'Input_APM (Zenith)'!M:M,'Check (Zenith)'!$C$1)))</f>
        <v/>
      </c>
      <c r="D86" s="212" t="str">
        <f>IF(B86="","",IF(OR(LEFT(B86,4)="Cash",LEFT(B86,4)="Prov"),0,SUMIFS('Input_APM (Zenith)'!N:N,'Input_APM (Zenith)'!L:L,'Check (Zenith)'!B86,'Input_APM (Zenith)'!M:M,'Check (Zenith)'!$D$1)))</f>
        <v/>
      </c>
      <c r="E86" s="212" t="str">
        <f t="shared" si="2"/>
        <v/>
      </c>
    </row>
    <row r="87" spans="3:5">
      <c r="C87" s="212" t="str">
        <f>IF(B87="","",IF(OR(LEFT(B87,4)="Cash",LEFT(B87,4)="Prov"),0,SUMIFS('Input_APM (Zenith)'!N:N,'Input_APM (Zenith)'!L:L,'Check (Zenith)'!B87,'Input_APM (Zenith)'!M:M,'Check (Zenith)'!$C$1)))</f>
        <v/>
      </c>
      <c r="D87" s="212" t="str">
        <f>IF(B87="","",IF(OR(LEFT(B87,4)="Cash",LEFT(B87,4)="Prov"),0,SUMIFS('Input_APM (Zenith)'!N:N,'Input_APM (Zenith)'!L:L,'Check (Zenith)'!B87,'Input_APM (Zenith)'!M:M,'Check (Zenith)'!$D$1)))</f>
        <v/>
      </c>
      <c r="E87" s="212" t="str">
        <f t="shared" si="2"/>
        <v/>
      </c>
    </row>
    <row r="88" spans="3:5">
      <c r="C88" s="212" t="str">
        <f>IF(B88="","",IF(OR(LEFT(B88,4)="Cash",LEFT(B88,4)="Prov"),0,SUMIFS('Input_APM (Zenith)'!N:N,'Input_APM (Zenith)'!L:L,'Check (Zenith)'!B88,'Input_APM (Zenith)'!M:M,'Check (Zenith)'!$C$1)))</f>
        <v/>
      </c>
      <c r="D88" s="212" t="str">
        <f>IF(B88="","",IF(OR(LEFT(B88,4)="Cash",LEFT(B88,4)="Prov"),0,SUMIFS('Input_APM (Zenith)'!N:N,'Input_APM (Zenith)'!L:L,'Check (Zenith)'!B88,'Input_APM (Zenith)'!M:M,'Check (Zenith)'!$D$1)))</f>
        <v/>
      </c>
      <c r="E88" s="212" t="str">
        <f t="shared" si="2"/>
        <v/>
      </c>
    </row>
    <row r="89" spans="3:5">
      <c r="C89" s="212" t="str">
        <f>IF(B89="","",IF(OR(LEFT(B89,4)="Cash",LEFT(B89,4)="Prov"),0,SUMIFS('Input_APM (Zenith)'!N:N,'Input_APM (Zenith)'!L:L,'Check (Zenith)'!B89,'Input_APM (Zenith)'!M:M,'Check (Zenith)'!$C$1)))</f>
        <v/>
      </c>
      <c r="D89" s="212" t="str">
        <f>IF(B89="","",IF(OR(LEFT(B89,4)="Cash",LEFT(B89,4)="Prov"),0,SUMIFS('Input_APM (Zenith)'!N:N,'Input_APM (Zenith)'!L:L,'Check (Zenith)'!B89,'Input_APM (Zenith)'!M:M,'Check (Zenith)'!$D$1)))</f>
        <v/>
      </c>
      <c r="E89" s="212" t="str">
        <f t="shared" si="2"/>
        <v/>
      </c>
    </row>
    <row r="90" spans="3:5">
      <c r="C90" s="212" t="str">
        <f>IF(B90="","",IF(OR(LEFT(B90,4)="Cash",LEFT(B90,4)="Prov"),0,SUMIFS('Input_APM (Zenith)'!N:N,'Input_APM (Zenith)'!L:L,'Check (Zenith)'!B90,'Input_APM (Zenith)'!M:M,'Check (Zenith)'!$C$1)))</f>
        <v/>
      </c>
      <c r="D90" s="212" t="str">
        <f>IF(B90="","",IF(OR(LEFT(B90,4)="Cash",LEFT(B90,4)="Prov"),0,SUMIFS('Input_APM (Zenith)'!N:N,'Input_APM (Zenith)'!L:L,'Check (Zenith)'!B90,'Input_APM (Zenith)'!M:M,'Check (Zenith)'!$D$1)))</f>
        <v/>
      </c>
      <c r="E90" s="212" t="str">
        <f t="shared" si="2"/>
        <v/>
      </c>
    </row>
    <row r="91" spans="3:5">
      <c r="C91" s="212" t="str">
        <f>IF(B91="","",IF(OR(LEFT(B91,4)="Cash",LEFT(B91,4)="Prov"),0,SUMIFS('Input_APM (Zenith)'!N:N,'Input_APM (Zenith)'!L:L,'Check (Zenith)'!B91,'Input_APM (Zenith)'!M:M,'Check (Zenith)'!$C$1)))</f>
        <v/>
      </c>
      <c r="D91" s="212" t="str">
        <f>IF(B91="","",IF(OR(LEFT(B91,4)="Cash",LEFT(B91,4)="Prov"),0,SUMIFS('Input_APM (Zenith)'!N:N,'Input_APM (Zenith)'!L:L,'Check (Zenith)'!B91,'Input_APM (Zenith)'!M:M,'Check (Zenith)'!$D$1)))</f>
        <v/>
      </c>
      <c r="E91" s="212" t="str">
        <f t="shared" si="2"/>
        <v/>
      </c>
    </row>
    <row r="92" spans="3:5">
      <c r="C92" s="212" t="str">
        <f>IF(B92="","",IF(OR(LEFT(B92,4)="Cash",LEFT(B92,4)="Prov"),0,SUMIFS('Input_APM (Zenith)'!N:N,'Input_APM (Zenith)'!L:L,'Check (Zenith)'!B92,'Input_APM (Zenith)'!M:M,'Check (Zenith)'!$C$1)))</f>
        <v/>
      </c>
      <c r="D92" s="212" t="str">
        <f>IF(B92="","",IF(OR(LEFT(B92,4)="Cash",LEFT(B92,4)="Prov"),0,SUMIFS('Input_APM (Zenith)'!N:N,'Input_APM (Zenith)'!L:L,'Check (Zenith)'!B92,'Input_APM (Zenith)'!M:M,'Check (Zenith)'!$D$1)))</f>
        <v/>
      </c>
      <c r="E92" s="212" t="str">
        <f t="shared" si="2"/>
        <v/>
      </c>
    </row>
    <row r="93" spans="3:5">
      <c r="C93" s="212" t="str">
        <f>IF(B93="","",IF(OR(LEFT(B93,4)="Cash",LEFT(B93,4)="Prov"),0,SUMIFS('Input_APM (Zenith)'!N:N,'Input_APM (Zenith)'!L:L,'Check (Zenith)'!B93,'Input_APM (Zenith)'!M:M,'Check (Zenith)'!$C$1)))</f>
        <v/>
      </c>
      <c r="D93" s="212" t="str">
        <f>IF(B93="","",IF(OR(LEFT(B93,4)="Cash",LEFT(B93,4)="Prov"),0,SUMIFS('Input_APM (Zenith)'!N:N,'Input_APM (Zenith)'!L:L,'Check (Zenith)'!B93,'Input_APM (Zenith)'!M:M,'Check (Zenith)'!$D$1)))</f>
        <v/>
      </c>
      <c r="E93" s="212" t="str">
        <f t="shared" si="2"/>
        <v/>
      </c>
    </row>
    <row r="94" spans="3:5">
      <c r="C94" s="212" t="str">
        <f>IF(B94="","",IF(OR(LEFT(B94,4)="Cash",LEFT(B94,4)="Prov"),0,SUMIFS('Input_APM (Zenith)'!N:N,'Input_APM (Zenith)'!L:L,'Check (Zenith)'!B94,'Input_APM (Zenith)'!M:M,'Check (Zenith)'!$C$1)))</f>
        <v/>
      </c>
      <c r="D94" s="212" t="str">
        <f>IF(B94="","",IF(OR(LEFT(B94,4)="Cash",LEFT(B94,4)="Prov"),0,SUMIFS('Input_APM (Zenith)'!N:N,'Input_APM (Zenith)'!L:L,'Check (Zenith)'!B94,'Input_APM (Zenith)'!M:M,'Check (Zenith)'!$D$1)))</f>
        <v/>
      </c>
      <c r="E94" s="212" t="str">
        <f t="shared" si="2"/>
        <v/>
      </c>
    </row>
    <row r="95" spans="3:5">
      <c r="C95" s="212" t="str">
        <f>IF(B95="","",IF(OR(LEFT(B95,4)="Cash",LEFT(B95,4)="Prov"),0,SUMIFS('Input_APM (Zenith)'!N:N,'Input_APM (Zenith)'!L:L,'Check (Zenith)'!B95,'Input_APM (Zenith)'!M:M,'Check (Zenith)'!$C$1)))</f>
        <v/>
      </c>
      <c r="D95" s="212" t="str">
        <f>IF(B95="","",IF(OR(LEFT(B95,4)="Cash",LEFT(B95,4)="Prov"),0,SUMIFS('Input_APM (Zenith)'!N:N,'Input_APM (Zenith)'!L:L,'Check (Zenith)'!B95,'Input_APM (Zenith)'!M:M,'Check (Zenith)'!$D$1)))</f>
        <v/>
      </c>
      <c r="E95" s="212" t="str">
        <f t="shared" si="2"/>
        <v/>
      </c>
    </row>
    <row r="96" spans="3:5">
      <c r="C96" s="212" t="str">
        <f>IF(B96="","",IF(OR(LEFT(B96,4)="Cash",LEFT(B96,4)="Prov"),0,SUMIFS('Input_APM (Zenith)'!N:N,'Input_APM (Zenith)'!L:L,'Check (Zenith)'!B96,'Input_APM (Zenith)'!M:M,'Check (Zenith)'!$C$1)))</f>
        <v/>
      </c>
      <c r="D96" s="212" t="str">
        <f>IF(B96="","",IF(OR(LEFT(B96,4)="Cash",LEFT(B96,4)="Prov"),0,SUMIFS('Input_APM (Zenith)'!N:N,'Input_APM (Zenith)'!L:L,'Check (Zenith)'!B96,'Input_APM (Zenith)'!M:M,'Check (Zenith)'!$D$1)))</f>
        <v/>
      </c>
      <c r="E96" s="212" t="str">
        <f t="shared" si="2"/>
        <v/>
      </c>
    </row>
    <row r="97" spans="3:5">
      <c r="C97" s="212" t="str">
        <f>IF(B97="","",IF(OR(LEFT(B97,4)="Cash",LEFT(B97,4)="Prov"),0,SUMIFS('Input_APM (Zenith)'!N:N,'Input_APM (Zenith)'!L:L,'Check (Zenith)'!B97,'Input_APM (Zenith)'!M:M,'Check (Zenith)'!$C$1)))</f>
        <v/>
      </c>
      <c r="D97" s="212" t="str">
        <f>IF(B97="","",IF(OR(LEFT(B97,4)="Cash",LEFT(B97,4)="Prov"),0,SUMIFS('Input_APM (Zenith)'!N:N,'Input_APM (Zenith)'!L:L,'Check (Zenith)'!B97,'Input_APM (Zenith)'!M:M,'Check (Zenith)'!$D$1)))</f>
        <v/>
      </c>
      <c r="E97" s="212" t="str">
        <f t="shared" si="2"/>
        <v/>
      </c>
    </row>
    <row r="98" spans="3:5">
      <c r="C98" s="212" t="str">
        <f>IF(B98="","",IF(OR(LEFT(B98,4)="Cash",LEFT(B98,4)="Prov"),0,SUMIFS('Input_APM (Zenith)'!N:N,'Input_APM (Zenith)'!L:L,'Check (Zenith)'!B98,'Input_APM (Zenith)'!M:M,'Check (Zenith)'!$C$1)))</f>
        <v/>
      </c>
      <c r="D98" s="212" t="str">
        <f>IF(B98="","",IF(OR(LEFT(B98,4)="Cash",LEFT(B98,4)="Prov"),0,SUMIFS('Input_APM (Zenith)'!N:N,'Input_APM (Zenith)'!L:L,'Check (Zenith)'!B98,'Input_APM (Zenith)'!M:M,'Check (Zenith)'!$D$1)))</f>
        <v/>
      </c>
      <c r="E98" s="212" t="str">
        <f t="shared" si="2"/>
        <v/>
      </c>
    </row>
    <row r="99" spans="3:5">
      <c r="C99" s="212" t="str">
        <f>IF(B99="","",IF(OR(LEFT(B99,4)="Cash",LEFT(B99,4)="Prov"),0,SUMIFS('Input_APM (Zenith)'!N:N,'Input_APM (Zenith)'!L:L,'Check (Zenith)'!B99,'Input_APM (Zenith)'!M:M,'Check (Zenith)'!$C$1)))</f>
        <v/>
      </c>
      <c r="D99" s="212" t="str">
        <f>IF(B99="","",IF(OR(LEFT(B99,4)="Cash",LEFT(B99,4)="Prov"),0,SUMIFS('Input_APM (Zenith)'!N:N,'Input_APM (Zenith)'!L:L,'Check (Zenith)'!B99,'Input_APM (Zenith)'!M:M,'Check (Zenith)'!$D$1)))</f>
        <v/>
      </c>
      <c r="E99" s="212" t="str">
        <f t="shared" si="2"/>
        <v/>
      </c>
    </row>
    <row r="100" spans="3:5">
      <c r="C100" s="212" t="str">
        <f>IF(B100="","",IF(OR(LEFT(B100,4)="Cash",LEFT(B100,4)="Prov"),0,SUMIFS('Input_APM (Zenith)'!N:N,'Input_APM (Zenith)'!L:L,'Check (Zenith)'!B100,'Input_APM (Zenith)'!M:M,'Check (Zenith)'!$C$1)))</f>
        <v/>
      </c>
      <c r="D100" s="212" t="str">
        <f>IF(B100="","",IF(OR(LEFT(B100,4)="Cash",LEFT(B100,4)="Prov"),0,SUMIFS('Input_APM (Zenith)'!N:N,'Input_APM (Zenith)'!L:L,'Check (Zenith)'!B100,'Input_APM (Zenith)'!M:M,'Check (Zenith)'!$D$1)))</f>
        <v/>
      </c>
      <c r="E100" s="212" t="str">
        <f t="shared" si="2"/>
        <v/>
      </c>
    </row>
    <row r="101" spans="3:5">
      <c r="C101" s="212" t="str">
        <f>IF(B101="","",IF(OR(LEFT(B101,4)="Cash",LEFT(B101,4)="Prov"),0,SUMIFS('Input_APM (Zenith)'!N:N,'Input_APM (Zenith)'!L:L,'Check (Zenith)'!B101,'Input_APM (Zenith)'!M:M,'Check (Zenith)'!$C$1)))</f>
        <v/>
      </c>
      <c r="D101" s="212" t="str">
        <f>IF(B101="","",IF(OR(LEFT(B101,4)="Cash",LEFT(B101,4)="Prov"),0,SUMIFS('Input_APM (Zenith)'!N:N,'Input_APM (Zenith)'!L:L,'Check (Zenith)'!B101,'Input_APM (Zenith)'!M:M,'Check (Zenith)'!$D$1)))</f>
        <v/>
      </c>
      <c r="E101" s="212" t="str">
        <f t="shared" si="2"/>
        <v/>
      </c>
    </row>
    <row r="102" spans="3:5">
      <c r="C102" s="212" t="str">
        <f>IF(B102="","",IF(OR(LEFT(B102,4)="Cash",LEFT(B102,4)="Prov"),0,SUMIFS('Input_APM (Zenith)'!N:N,'Input_APM (Zenith)'!L:L,'Check (Zenith)'!B102,'Input_APM (Zenith)'!M:M,'Check (Zenith)'!$C$1)))</f>
        <v/>
      </c>
      <c r="D102" s="212" t="str">
        <f>IF(B102="","",IF(OR(LEFT(B102,4)="Cash",LEFT(B102,4)="Prov"),0,SUMIFS('Input_APM (Zenith)'!N:N,'Input_APM (Zenith)'!L:L,'Check (Zenith)'!B102,'Input_APM (Zenith)'!M:M,'Check (Zenith)'!$D$1)))</f>
        <v/>
      </c>
      <c r="E102" s="212" t="str">
        <f t="shared" si="2"/>
        <v/>
      </c>
    </row>
    <row r="103" spans="3:5">
      <c r="C103" s="212" t="str">
        <f>IF(B103="","",IF(OR(LEFT(B103,4)="Cash",LEFT(B103,4)="Prov"),0,SUMIFS('Input_APM (Zenith)'!N:N,'Input_APM (Zenith)'!L:L,'Check (Zenith)'!B103,'Input_APM (Zenith)'!M:M,'Check (Zenith)'!$C$1)))</f>
        <v/>
      </c>
      <c r="D103" s="212" t="str">
        <f>IF(B103="","",IF(OR(LEFT(B103,4)="Cash",LEFT(B103,4)="Prov"),0,SUMIFS('Input_APM (Zenith)'!N:N,'Input_APM (Zenith)'!L:L,'Check (Zenith)'!B103,'Input_APM (Zenith)'!M:M,'Check (Zenith)'!$D$1)))</f>
        <v/>
      </c>
      <c r="E103" s="212" t="str">
        <f t="shared" si="2"/>
        <v/>
      </c>
    </row>
    <row r="104" spans="3:5">
      <c r="C104" s="212" t="str">
        <f>IF(B104="","",IF(OR(LEFT(B104,4)="Cash",LEFT(B104,4)="Prov"),0,SUMIFS('Input_APM (Zenith)'!N:N,'Input_APM (Zenith)'!L:L,'Check (Zenith)'!B104,'Input_APM (Zenith)'!M:M,'Check (Zenith)'!$C$1)))</f>
        <v/>
      </c>
      <c r="D104" s="212" t="str">
        <f>IF(B104="","",IF(OR(LEFT(B104,4)="Cash",LEFT(B104,4)="Prov"),0,SUMIFS('Input_APM (Zenith)'!N:N,'Input_APM (Zenith)'!L:L,'Check (Zenith)'!B104,'Input_APM (Zenith)'!M:M,'Check (Zenith)'!$D$1)))</f>
        <v/>
      </c>
      <c r="E104" s="212" t="str">
        <f t="shared" si="2"/>
        <v/>
      </c>
    </row>
    <row r="105" spans="3:5">
      <c r="C105" s="212" t="str">
        <f>IF(B105="","",IF(OR(LEFT(B105,4)="Cash",LEFT(B105,4)="Prov"),0,SUMIFS('Input_APM (Zenith)'!N:N,'Input_APM (Zenith)'!L:L,'Check (Zenith)'!B105,'Input_APM (Zenith)'!M:M,'Check (Zenith)'!$C$1)))</f>
        <v/>
      </c>
      <c r="D105" s="212" t="str">
        <f>IF(B105="","",IF(OR(LEFT(B105,4)="Cash",LEFT(B105,4)="Prov"),0,SUMIFS('Input_APM (Zenith)'!N:N,'Input_APM (Zenith)'!L:L,'Check (Zenith)'!B105,'Input_APM (Zenith)'!M:M,'Check (Zenith)'!$D$1)))</f>
        <v/>
      </c>
      <c r="E105" s="212" t="str">
        <f t="shared" si="2"/>
        <v/>
      </c>
    </row>
    <row r="106" spans="3:5">
      <c r="C106" s="212" t="str">
        <f>IF(B106="","",IF(OR(LEFT(B106,4)="Cash",LEFT(B106,4)="Prov"),0,SUMIFS('Input_APM (Zenith)'!N:N,'Input_APM (Zenith)'!L:L,'Check (Zenith)'!B106,'Input_APM (Zenith)'!M:M,'Check (Zenith)'!$C$1)))</f>
        <v/>
      </c>
      <c r="D106" s="212" t="str">
        <f>IF(B106="","",IF(OR(LEFT(B106,4)="Cash",LEFT(B106,4)="Prov"),0,SUMIFS('Input_APM (Zenith)'!N:N,'Input_APM (Zenith)'!L:L,'Check (Zenith)'!B106,'Input_APM (Zenith)'!M:M,'Check (Zenith)'!$D$1)))</f>
        <v/>
      </c>
      <c r="E106" s="212" t="str">
        <f t="shared" si="2"/>
        <v/>
      </c>
    </row>
    <row r="107" spans="3:5">
      <c r="C107" s="212" t="str">
        <f>IF(B107="","",IF(OR(LEFT(B107,4)="Cash",LEFT(B107,4)="Prov"),0,SUMIFS('Input_APM (Zenith)'!N:N,'Input_APM (Zenith)'!L:L,'Check (Zenith)'!B107,'Input_APM (Zenith)'!M:M,'Check (Zenith)'!$C$1)))</f>
        <v/>
      </c>
      <c r="D107" s="212" t="str">
        <f>IF(B107="","",IF(OR(LEFT(B107,4)="Cash",LEFT(B107,4)="Prov"),0,SUMIFS('Input_APM (Zenith)'!N:N,'Input_APM (Zenith)'!L:L,'Check (Zenith)'!B107,'Input_APM (Zenith)'!M:M,'Check (Zenith)'!$D$1)))</f>
        <v/>
      </c>
      <c r="E107" s="212" t="str">
        <f t="shared" si="2"/>
        <v/>
      </c>
    </row>
    <row r="108" spans="3:5">
      <c r="C108" s="212" t="str">
        <f>IF(B108="","",IF(OR(LEFT(B108,4)="Cash",LEFT(B108,4)="Prov"),0,SUMIFS('Input_APM (Zenith)'!N:N,'Input_APM (Zenith)'!L:L,'Check (Zenith)'!B108,'Input_APM (Zenith)'!M:M,'Check (Zenith)'!$C$1)))</f>
        <v/>
      </c>
      <c r="D108" s="212" t="str">
        <f>IF(B108="","",IF(OR(LEFT(B108,4)="Cash",LEFT(B108,4)="Prov"),0,SUMIFS('Input_APM (Zenith)'!N:N,'Input_APM (Zenith)'!L:L,'Check (Zenith)'!B108,'Input_APM (Zenith)'!M:M,'Check (Zenith)'!$D$1)))</f>
        <v/>
      </c>
      <c r="E108" s="212" t="str">
        <f t="shared" si="2"/>
        <v/>
      </c>
    </row>
    <row r="109" spans="3:5">
      <c r="C109" s="212" t="str">
        <f>IF(B109="","",IF(OR(LEFT(B109,4)="Cash",LEFT(B109,4)="Prov"),0,SUMIFS('Input_APM (Zenith)'!N:N,'Input_APM (Zenith)'!L:L,'Check (Zenith)'!B109,'Input_APM (Zenith)'!M:M,'Check (Zenith)'!$C$1)))</f>
        <v/>
      </c>
      <c r="D109" s="212" t="str">
        <f>IF(B109="","",IF(OR(LEFT(B109,4)="Cash",LEFT(B109,4)="Prov"),0,SUMIFS('Input_APM (Zenith)'!N:N,'Input_APM (Zenith)'!L:L,'Check (Zenith)'!B109,'Input_APM (Zenith)'!M:M,'Check (Zenith)'!$D$1)))</f>
        <v/>
      </c>
      <c r="E109" s="212" t="str">
        <f t="shared" si="2"/>
        <v/>
      </c>
    </row>
    <row r="110" spans="3:5">
      <c r="C110" s="212" t="str">
        <f>IF(B110="","",IF(OR(LEFT(B110,4)="Cash",LEFT(B110,4)="Prov"),0,SUMIFS('Input_APM (Zenith)'!N:N,'Input_APM (Zenith)'!L:L,'Check (Zenith)'!B110,'Input_APM (Zenith)'!M:M,'Check (Zenith)'!$C$1)))</f>
        <v/>
      </c>
      <c r="D110" s="212" t="str">
        <f>IF(B110="","",IF(OR(LEFT(B110,4)="Cash",LEFT(B110,4)="Prov"),0,SUMIFS('Input_APM (Zenith)'!N:N,'Input_APM (Zenith)'!L:L,'Check (Zenith)'!B110,'Input_APM (Zenith)'!M:M,'Check (Zenith)'!$D$1)))</f>
        <v/>
      </c>
      <c r="E110" s="212" t="str">
        <f t="shared" si="2"/>
        <v/>
      </c>
    </row>
    <row r="111" spans="3:5">
      <c r="C111" s="212" t="str">
        <f>IF(B111="","",IF(OR(LEFT(B111,4)="Cash",LEFT(B111,4)="Prov"),0,SUMIFS('Input_APM (Zenith)'!N:N,'Input_APM (Zenith)'!L:L,'Check (Zenith)'!B111,'Input_APM (Zenith)'!M:M,'Check (Zenith)'!$C$1)))</f>
        <v/>
      </c>
      <c r="D111" s="212" t="str">
        <f>IF(B111="","",IF(OR(LEFT(B111,4)="Cash",LEFT(B111,4)="Prov"),0,SUMIFS('Input_APM (Zenith)'!N:N,'Input_APM (Zenith)'!L:L,'Check (Zenith)'!B111,'Input_APM (Zenith)'!M:M,'Check (Zenith)'!$D$1)))</f>
        <v/>
      </c>
      <c r="E111" s="212" t="str">
        <f t="shared" si="2"/>
        <v/>
      </c>
    </row>
    <row r="112" spans="3:5">
      <c r="C112" s="212" t="str">
        <f>IF(B112="","",IF(OR(LEFT(B112,4)="Cash",LEFT(B112,4)="Prov"),0,SUMIFS('Input_APM (Zenith)'!N:N,'Input_APM (Zenith)'!L:L,'Check (Zenith)'!B112,'Input_APM (Zenith)'!M:M,'Check (Zenith)'!$C$1)))</f>
        <v/>
      </c>
      <c r="D112" s="212" t="str">
        <f>IF(B112="","",IF(OR(LEFT(B112,4)="Cash",LEFT(B112,4)="Prov"),0,SUMIFS('Input_APM (Zenith)'!N:N,'Input_APM (Zenith)'!L:L,'Check (Zenith)'!B112,'Input_APM (Zenith)'!M:M,'Check (Zenith)'!$D$1)))</f>
        <v/>
      </c>
      <c r="E112" s="212" t="str">
        <f t="shared" si="2"/>
        <v/>
      </c>
    </row>
    <row r="113" spans="3:5">
      <c r="C113" s="212" t="str">
        <f>IF(B113="","",IF(OR(LEFT(B113,4)="Cash",LEFT(B113,4)="Prov"),0,SUMIFS('Input_APM (Zenith)'!N:N,'Input_APM (Zenith)'!L:L,'Check (Zenith)'!B113,'Input_APM (Zenith)'!M:M,'Check (Zenith)'!$C$1)))</f>
        <v/>
      </c>
      <c r="D113" s="212" t="str">
        <f>IF(B113="","",IF(OR(LEFT(B113,4)="Cash",LEFT(B113,4)="Prov"),0,SUMIFS('Input_APM (Zenith)'!N:N,'Input_APM (Zenith)'!L:L,'Check (Zenith)'!B113,'Input_APM (Zenith)'!M:M,'Check (Zenith)'!$D$1)))</f>
        <v/>
      </c>
      <c r="E113" s="212" t="str">
        <f t="shared" si="2"/>
        <v/>
      </c>
    </row>
    <row r="114" spans="3:5">
      <c r="C114" s="212" t="str">
        <f>IF(B114="","",IF(OR(LEFT(B114,4)="Cash",LEFT(B114,4)="Prov"),0,SUMIFS('Input_APM (Zenith)'!N:N,'Input_APM (Zenith)'!L:L,'Check (Zenith)'!B114,'Input_APM (Zenith)'!M:M,'Check (Zenith)'!$C$1)))</f>
        <v/>
      </c>
      <c r="D114" s="212" t="str">
        <f>IF(B114="","",IF(OR(LEFT(B114,4)="Cash",LEFT(B114,4)="Prov"),0,SUMIFS('Input_APM (Zenith)'!N:N,'Input_APM (Zenith)'!L:L,'Check (Zenith)'!B114,'Input_APM (Zenith)'!M:M,'Check (Zenith)'!$D$1)))</f>
        <v/>
      </c>
      <c r="E114" s="212" t="str">
        <f t="shared" si="2"/>
        <v/>
      </c>
    </row>
    <row r="115" spans="3:5">
      <c r="C115" s="212" t="str">
        <f>IF(B115="","",IF(OR(LEFT(B115,4)="Cash",LEFT(B115,4)="Prov"),0,SUMIFS('Input_APM (Zenith)'!N:N,'Input_APM (Zenith)'!L:L,'Check (Zenith)'!B115,'Input_APM (Zenith)'!M:M,'Check (Zenith)'!$C$1)))</f>
        <v/>
      </c>
      <c r="D115" s="212" t="str">
        <f>IF(B115="","",IF(OR(LEFT(B115,4)="Cash",LEFT(B115,4)="Prov"),0,SUMIFS('Input_APM (Zenith)'!N:N,'Input_APM (Zenith)'!L:L,'Check (Zenith)'!B115,'Input_APM (Zenith)'!M:M,'Check (Zenith)'!$D$1)))</f>
        <v/>
      </c>
      <c r="E115" s="212" t="str">
        <f t="shared" si="2"/>
        <v/>
      </c>
    </row>
    <row r="116" spans="3:5">
      <c r="C116" s="212" t="str">
        <f>IF(B116="","",IF(OR(LEFT(B116,4)="Cash",LEFT(B116,4)="Prov"),0,SUMIFS('Input_APM (Zenith)'!N:N,'Input_APM (Zenith)'!L:L,'Check (Zenith)'!B116,'Input_APM (Zenith)'!M:M,'Check (Zenith)'!$C$1)))</f>
        <v/>
      </c>
      <c r="D116" s="212" t="str">
        <f>IF(B116="","",IF(OR(LEFT(B116,4)="Cash",LEFT(B116,4)="Prov"),0,SUMIFS('Input_APM (Zenith)'!N:N,'Input_APM (Zenith)'!L:L,'Check (Zenith)'!B116,'Input_APM (Zenith)'!M:M,'Check (Zenith)'!$D$1)))</f>
        <v/>
      </c>
      <c r="E116" s="212" t="str">
        <f t="shared" si="2"/>
        <v/>
      </c>
    </row>
    <row r="117" spans="3:5">
      <c r="C117" s="212" t="str">
        <f>IF(B117="","",IF(OR(LEFT(B117,4)="Cash",LEFT(B117,4)="Prov"),0,SUMIFS('Input_APM (Zenith)'!N:N,'Input_APM (Zenith)'!L:L,'Check (Zenith)'!B117,'Input_APM (Zenith)'!M:M,'Check (Zenith)'!$C$1)))</f>
        <v/>
      </c>
      <c r="D117" s="212" t="str">
        <f>IF(B117="","",IF(OR(LEFT(B117,4)="Cash",LEFT(B117,4)="Prov"),0,SUMIFS('Input_APM (Zenith)'!N:N,'Input_APM (Zenith)'!L:L,'Check (Zenith)'!B117,'Input_APM (Zenith)'!M:M,'Check (Zenith)'!$D$1)))</f>
        <v/>
      </c>
      <c r="E117" s="212" t="str">
        <f t="shared" si="2"/>
        <v/>
      </c>
    </row>
    <row r="118" spans="3:5">
      <c r="C118" s="212" t="str">
        <f>IF(B118="","",IF(OR(LEFT(B118,4)="Cash",LEFT(B118,4)="Prov"),0,SUMIFS('Input_APM (Zenith)'!N:N,'Input_APM (Zenith)'!L:L,'Check (Zenith)'!B118,'Input_APM (Zenith)'!M:M,'Check (Zenith)'!$C$1)))</f>
        <v/>
      </c>
      <c r="D118" s="212" t="str">
        <f>IF(B118="","",IF(OR(LEFT(B118,4)="Cash",LEFT(B118,4)="Prov"),0,SUMIFS('Input_APM (Zenith)'!N:N,'Input_APM (Zenith)'!L:L,'Check (Zenith)'!B118,'Input_APM (Zenith)'!M:M,'Check (Zenith)'!$D$1)))</f>
        <v/>
      </c>
      <c r="E118" s="212" t="str">
        <f t="shared" si="2"/>
        <v/>
      </c>
    </row>
    <row r="119" spans="3:5">
      <c r="C119" s="212" t="str">
        <f>IF(B119="","",IF(OR(LEFT(B119,4)="Cash",LEFT(B119,4)="Prov"),0,SUMIFS('Input_APM (Zenith)'!N:N,'Input_APM (Zenith)'!L:L,'Check (Zenith)'!B119,'Input_APM (Zenith)'!M:M,'Check (Zenith)'!$C$1)))</f>
        <v/>
      </c>
      <c r="D119" s="212" t="str">
        <f>IF(B119="","",IF(OR(LEFT(B119,4)="Cash",LEFT(B119,4)="Prov"),0,SUMIFS('Input_APM (Zenith)'!N:N,'Input_APM (Zenith)'!L:L,'Check (Zenith)'!B119,'Input_APM (Zenith)'!M:M,'Check (Zenith)'!$D$1)))</f>
        <v/>
      </c>
      <c r="E119" s="212" t="str">
        <f t="shared" si="2"/>
        <v/>
      </c>
    </row>
    <row r="120" spans="3:5">
      <c r="C120" s="212" t="str">
        <f>IF(B120="","",IF(OR(LEFT(B120,4)="Cash",LEFT(B120,4)="Prov"),0,SUMIFS('Input_APM (Zenith)'!N:N,'Input_APM (Zenith)'!L:L,'Check (Zenith)'!B120,'Input_APM (Zenith)'!M:M,'Check (Zenith)'!$C$1)))</f>
        <v/>
      </c>
      <c r="D120" s="212" t="str">
        <f>IF(B120="","",IF(OR(LEFT(B120,4)="Cash",LEFT(B120,4)="Prov"),0,SUMIFS('Input_APM (Zenith)'!N:N,'Input_APM (Zenith)'!L:L,'Check (Zenith)'!B120,'Input_APM (Zenith)'!M:M,'Check (Zenith)'!$D$1)))</f>
        <v/>
      </c>
      <c r="E120" s="212" t="str">
        <f t="shared" si="2"/>
        <v/>
      </c>
    </row>
    <row r="121" spans="3:5">
      <c r="C121" s="212" t="str">
        <f>IF(B121="","",IF(OR(LEFT(B121,4)="Cash",LEFT(B121,4)="Prov"),0,SUMIFS('Input_APM (Zenith)'!N:N,'Input_APM (Zenith)'!L:L,'Check (Zenith)'!B121,'Input_APM (Zenith)'!M:M,'Check (Zenith)'!$C$1)))</f>
        <v/>
      </c>
      <c r="D121" s="212" t="str">
        <f>IF(B121="","",IF(OR(LEFT(B121,4)="Cash",LEFT(B121,4)="Prov"),0,SUMIFS('Input_APM (Zenith)'!N:N,'Input_APM (Zenith)'!L:L,'Check (Zenith)'!B121,'Input_APM (Zenith)'!M:M,'Check (Zenith)'!$D$1)))</f>
        <v/>
      </c>
      <c r="E121" s="212" t="str">
        <f t="shared" si="2"/>
        <v/>
      </c>
    </row>
    <row r="122" spans="3:5">
      <c r="C122" s="212" t="str">
        <f>IF(B122="","",IF(OR(LEFT(B122,4)="Cash",LEFT(B122,4)="Prov"),0,SUMIFS('Input_APM (Zenith)'!N:N,'Input_APM (Zenith)'!L:L,'Check (Zenith)'!B122,'Input_APM (Zenith)'!M:M,'Check (Zenith)'!$C$1)))</f>
        <v/>
      </c>
      <c r="D122" s="212" t="str">
        <f>IF(B122="","",IF(OR(LEFT(B122,4)="Cash",LEFT(B122,4)="Prov"),0,SUMIFS('Input_APM (Zenith)'!N:N,'Input_APM (Zenith)'!L:L,'Check (Zenith)'!B122,'Input_APM (Zenith)'!M:M,'Check (Zenith)'!$D$1)))</f>
        <v/>
      </c>
      <c r="E122" s="212" t="str">
        <f t="shared" si="2"/>
        <v/>
      </c>
    </row>
    <row r="123" spans="3:5">
      <c r="C123" s="212" t="str">
        <f>IF(B123="","",IF(OR(LEFT(B123,4)="Cash",LEFT(B123,4)="Prov"),0,SUMIFS('Input_APM (Zenith)'!N:N,'Input_APM (Zenith)'!L:L,'Check (Zenith)'!B123,'Input_APM (Zenith)'!M:M,'Check (Zenith)'!$C$1)))</f>
        <v/>
      </c>
      <c r="D123" s="212" t="str">
        <f>IF(B123="","",IF(OR(LEFT(B123,4)="Cash",LEFT(B123,4)="Prov"),0,SUMIFS('Input_APM (Zenith)'!N:N,'Input_APM (Zenith)'!L:L,'Check (Zenith)'!B123,'Input_APM (Zenith)'!M:M,'Check (Zenith)'!$D$1)))</f>
        <v/>
      </c>
      <c r="E123" s="212" t="str">
        <f t="shared" si="2"/>
        <v/>
      </c>
    </row>
    <row r="124" spans="3:5">
      <c r="C124" s="212" t="str">
        <f>IF(B124="","",IF(OR(LEFT(B124,4)="Cash",LEFT(B124,4)="Prov"),0,SUMIFS('Input_APM (Zenith)'!N:N,'Input_APM (Zenith)'!L:L,'Check (Zenith)'!B124,'Input_APM (Zenith)'!M:M,'Check (Zenith)'!$C$1)))</f>
        <v/>
      </c>
      <c r="D124" s="212" t="str">
        <f>IF(B124="","",IF(OR(LEFT(B124,4)="Cash",LEFT(B124,4)="Prov"),0,SUMIFS('Input_APM (Zenith)'!N:N,'Input_APM (Zenith)'!L:L,'Check (Zenith)'!B124,'Input_APM (Zenith)'!M:M,'Check (Zenith)'!$D$1)))</f>
        <v/>
      </c>
      <c r="E124" s="212" t="str">
        <f t="shared" si="2"/>
        <v/>
      </c>
    </row>
    <row r="125" spans="3:5">
      <c r="C125" s="212" t="str">
        <f>IF(B125="","",IF(OR(LEFT(B125,4)="Cash",LEFT(B125,4)="Prov"),0,SUMIFS('Input_APM (Zenith)'!N:N,'Input_APM (Zenith)'!L:L,'Check (Zenith)'!B125,'Input_APM (Zenith)'!M:M,'Check (Zenith)'!$C$1)))</f>
        <v/>
      </c>
      <c r="D125" s="212" t="str">
        <f>IF(B125="","",IF(OR(LEFT(B125,4)="Cash",LEFT(B125,4)="Prov"),0,SUMIFS('Input_APM (Zenith)'!N:N,'Input_APM (Zenith)'!L:L,'Check (Zenith)'!B125,'Input_APM (Zenith)'!M:M,'Check (Zenith)'!$D$1)))</f>
        <v/>
      </c>
      <c r="E125" s="212" t="str">
        <f t="shared" si="2"/>
        <v/>
      </c>
    </row>
    <row r="126" spans="3:5">
      <c r="C126" s="212" t="str">
        <f>IF(B126="","",IF(OR(LEFT(B126,4)="Cash",LEFT(B126,4)="Prov"),0,SUMIFS('Input_APM (Zenith)'!N:N,'Input_APM (Zenith)'!L:L,'Check (Zenith)'!B126,'Input_APM (Zenith)'!M:M,'Check (Zenith)'!$C$1)))</f>
        <v/>
      </c>
      <c r="D126" s="212" t="str">
        <f>IF(B126="","",IF(OR(LEFT(B126,4)="Cash",LEFT(B126,4)="Prov"),0,SUMIFS('Input_APM (Zenith)'!N:N,'Input_APM (Zenith)'!L:L,'Check (Zenith)'!B126,'Input_APM (Zenith)'!M:M,'Check (Zenith)'!$D$1)))</f>
        <v/>
      </c>
      <c r="E126" s="212" t="str">
        <f t="shared" si="2"/>
        <v/>
      </c>
    </row>
    <row r="127" spans="3:5">
      <c r="C127" s="212" t="str">
        <f>IF(B127="","",IF(OR(LEFT(B127,4)="Cash",LEFT(B127,4)="Prov"),0,SUMIFS('Input_APM (Zenith)'!N:N,'Input_APM (Zenith)'!L:L,'Check (Zenith)'!B127,'Input_APM (Zenith)'!M:M,'Check (Zenith)'!$C$1)))</f>
        <v/>
      </c>
      <c r="D127" s="212" t="str">
        <f>IF(B127="","",IF(OR(LEFT(B127,4)="Cash",LEFT(B127,4)="Prov"),0,SUMIFS('Input_APM (Zenith)'!N:N,'Input_APM (Zenith)'!L:L,'Check (Zenith)'!B127,'Input_APM (Zenith)'!M:M,'Check (Zenith)'!$D$1)))</f>
        <v/>
      </c>
      <c r="E127" s="212" t="str">
        <f t="shared" si="2"/>
        <v/>
      </c>
    </row>
    <row r="128" spans="3:5">
      <c r="C128" s="212" t="str">
        <f>IF(B128="","",IF(OR(LEFT(B128,4)="Cash",LEFT(B128,4)="Prov"),0,SUMIFS('Input_APM (Zenith)'!N:N,'Input_APM (Zenith)'!L:L,'Check (Zenith)'!B128,'Input_APM (Zenith)'!M:M,'Check (Zenith)'!$C$1)))</f>
        <v/>
      </c>
      <c r="D128" s="212" t="str">
        <f>IF(B128="","",IF(OR(LEFT(B128,4)="Cash",LEFT(B128,4)="Prov"),0,SUMIFS('Input_APM (Zenith)'!N:N,'Input_APM (Zenith)'!L:L,'Check (Zenith)'!B128,'Input_APM (Zenith)'!M:M,'Check (Zenith)'!$D$1)))</f>
        <v/>
      </c>
      <c r="E128" s="212" t="str">
        <f t="shared" si="2"/>
        <v/>
      </c>
    </row>
    <row r="129" spans="3:5">
      <c r="C129" s="212" t="str">
        <f>IF(B129="","",IF(OR(LEFT(B129,4)="Cash",LEFT(B129,4)="Prov"),0,SUMIFS('Input_APM (Zenith)'!N:N,'Input_APM (Zenith)'!L:L,'Check (Zenith)'!B129,'Input_APM (Zenith)'!M:M,'Check (Zenith)'!$C$1)))</f>
        <v/>
      </c>
      <c r="D129" s="212" t="str">
        <f>IF(B129="","",IF(OR(LEFT(B129,4)="Cash",LEFT(B129,4)="Prov"),0,SUMIFS('Input_APM (Zenith)'!N:N,'Input_APM (Zenith)'!L:L,'Check (Zenith)'!B129,'Input_APM (Zenith)'!M:M,'Check (Zenith)'!$D$1)))</f>
        <v/>
      </c>
      <c r="E129" s="212" t="str">
        <f t="shared" si="2"/>
        <v/>
      </c>
    </row>
    <row r="130" spans="3:5">
      <c r="C130" s="212" t="str">
        <f>IF(B130="","",IF(OR(LEFT(B130,4)="Cash",LEFT(B130,4)="Prov"),0,SUMIFS('Input_APM (Zenith)'!N:N,'Input_APM (Zenith)'!L:L,'Check (Zenith)'!B130,'Input_APM (Zenith)'!M:M,'Check (Zenith)'!$C$1)))</f>
        <v/>
      </c>
      <c r="D130" s="212" t="str">
        <f>IF(B130="","",IF(OR(LEFT(B130,4)="Cash",LEFT(B130,4)="Prov"),0,SUMIFS('Input_APM (Zenith)'!N:N,'Input_APM (Zenith)'!L:L,'Check (Zenith)'!B130,'Input_APM (Zenith)'!M:M,'Check (Zenith)'!$D$1)))</f>
        <v/>
      </c>
      <c r="E130" s="212" t="str">
        <f t="shared" si="2"/>
        <v/>
      </c>
    </row>
    <row r="131" spans="3:5">
      <c r="C131" s="212" t="str">
        <f>IF(B131="","",IF(OR(LEFT(B131,4)="Cash",LEFT(B131,4)="Prov"),0,SUMIFS('Input_APM (Zenith)'!N:N,'Input_APM (Zenith)'!L:L,'Check (Zenith)'!B131,'Input_APM (Zenith)'!M:M,'Check (Zenith)'!$C$1)))</f>
        <v/>
      </c>
      <c r="D131" s="212" t="str">
        <f>IF(B131="","",IF(OR(LEFT(B131,4)="Cash",LEFT(B131,4)="Prov"),0,SUMIFS('Input_APM (Zenith)'!N:N,'Input_APM (Zenith)'!L:L,'Check (Zenith)'!B131,'Input_APM (Zenith)'!M:M,'Check (Zenith)'!$D$1)))</f>
        <v/>
      </c>
      <c r="E131" s="212" t="str">
        <f t="shared" si="2"/>
        <v/>
      </c>
    </row>
    <row r="132" spans="3:5">
      <c r="C132" s="212" t="str">
        <f>IF(B132="","",IF(OR(LEFT(B132,4)="Cash",LEFT(B132,4)="Prov"),0,SUMIFS('Input_APM (Zenith)'!N:N,'Input_APM (Zenith)'!L:L,'Check (Zenith)'!B132,'Input_APM (Zenith)'!M:M,'Check (Zenith)'!$C$1)))</f>
        <v/>
      </c>
      <c r="D132" s="212" t="str">
        <f>IF(B132="","",IF(OR(LEFT(B132,4)="Cash",LEFT(B132,4)="Prov"),0,SUMIFS('Input_APM (Zenith)'!N:N,'Input_APM (Zenith)'!L:L,'Check (Zenith)'!B132,'Input_APM (Zenith)'!M:M,'Check (Zenith)'!$D$1)))</f>
        <v/>
      </c>
      <c r="E132" s="212" t="str">
        <f t="shared" si="2"/>
        <v/>
      </c>
    </row>
    <row r="133" spans="3:5">
      <c r="C133" s="212" t="str">
        <f>IF(B133="","",IF(OR(LEFT(B133,4)="Cash",LEFT(B133,4)="Prov"),0,SUMIFS('Input_APM (Zenith)'!N:N,'Input_APM (Zenith)'!L:L,'Check (Zenith)'!B133,'Input_APM (Zenith)'!M:M,'Check (Zenith)'!$C$1)))</f>
        <v/>
      </c>
      <c r="D133" s="212" t="str">
        <f>IF(B133="","",IF(OR(LEFT(B133,4)="Cash",LEFT(B133,4)="Prov"),0,SUMIFS('Input_APM (Zenith)'!N:N,'Input_APM (Zenith)'!L:L,'Check (Zenith)'!B133,'Input_APM (Zenith)'!M:M,'Check (Zenith)'!$D$1)))</f>
        <v/>
      </c>
      <c r="E133" s="212" t="str">
        <f t="shared" si="2"/>
        <v/>
      </c>
    </row>
    <row r="134" spans="3:5">
      <c r="C134" s="212" t="str">
        <f>IF(B134="","",IF(OR(LEFT(B134,4)="Cash",LEFT(B134,4)="Prov"),0,SUMIFS('Input_APM (Zenith)'!N:N,'Input_APM (Zenith)'!L:L,'Check (Zenith)'!B134,'Input_APM (Zenith)'!M:M,'Check (Zenith)'!$C$1)))</f>
        <v/>
      </c>
      <c r="D134" s="212" t="str">
        <f>IF(B134="","",IF(OR(LEFT(B134,4)="Cash",LEFT(B134,4)="Prov"),0,SUMIFS('Input_APM (Zenith)'!N:N,'Input_APM (Zenith)'!L:L,'Check (Zenith)'!B134,'Input_APM (Zenith)'!M:M,'Check (Zenith)'!$D$1)))</f>
        <v/>
      </c>
      <c r="E134" s="212" t="str">
        <f t="shared" si="2"/>
        <v/>
      </c>
    </row>
    <row r="135" spans="3:5">
      <c r="C135" s="212" t="str">
        <f>IF(B135="","",IF(OR(LEFT(B135,4)="Cash",LEFT(B135,4)="Prov"),0,SUMIFS('Input_APM (Zenith)'!N:N,'Input_APM (Zenith)'!L:L,'Check (Zenith)'!B135,'Input_APM (Zenith)'!M:M,'Check (Zenith)'!$C$1)))</f>
        <v/>
      </c>
      <c r="D135" s="212" t="str">
        <f>IF(B135="","",IF(OR(LEFT(B135,4)="Cash",LEFT(B135,4)="Prov"),0,SUMIFS('Input_APM (Zenith)'!N:N,'Input_APM (Zenith)'!L:L,'Check (Zenith)'!B135,'Input_APM (Zenith)'!M:M,'Check (Zenith)'!$D$1)))</f>
        <v/>
      </c>
      <c r="E135" s="212" t="str">
        <f t="shared" si="2"/>
        <v/>
      </c>
    </row>
    <row r="136" spans="3:5">
      <c r="C136" s="212" t="str">
        <f>IF(B136="","",IF(OR(LEFT(B136,4)="Cash",LEFT(B136,4)="Prov"),0,SUMIFS('Input_APM (Zenith)'!N:N,'Input_APM (Zenith)'!L:L,'Check (Zenith)'!B136,'Input_APM (Zenith)'!M:M,'Check (Zenith)'!$C$1)))</f>
        <v/>
      </c>
      <c r="D136" s="212" t="str">
        <f>IF(B136="","",IF(OR(LEFT(B136,4)="Cash",LEFT(B136,4)="Prov"),0,SUMIFS('Input_APM (Zenith)'!N:N,'Input_APM (Zenith)'!L:L,'Check (Zenith)'!B136,'Input_APM (Zenith)'!M:M,'Check (Zenith)'!$D$1)))</f>
        <v/>
      </c>
      <c r="E136" s="212" t="str">
        <f t="shared" si="2"/>
        <v/>
      </c>
    </row>
    <row r="137" spans="3:5">
      <c r="C137" s="212" t="str">
        <f>IF(B137="","",IF(OR(LEFT(B137,4)="Cash",LEFT(B137,4)="Prov"),0,SUMIFS('Input_APM (Zenith)'!N:N,'Input_APM (Zenith)'!L:L,'Check (Zenith)'!B137,'Input_APM (Zenith)'!M:M,'Check (Zenith)'!$C$1)))</f>
        <v/>
      </c>
      <c r="D137" s="212" t="str">
        <f>IF(B137="","",IF(OR(LEFT(B137,4)="Cash",LEFT(B137,4)="Prov"),0,SUMIFS('Input_APM (Zenith)'!N:N,'Input_APM (Zenith)'!L:L,'Check (Zenith)'!B137,'Input_APM (Zenith)'!M:M,'Check (Zenith)'!$D$1)))</f>
        <v/>
      </c>
      <c r="E137" s="212" t="str">
        <f t="shared" si="2"/>
        <v/>
      </c>
    </row>
    <row r="138" spans="3:5">
      <c r="C138" s="212" t="str">
        <f>IF(B138="","",IF(OR(LEFT(B138,4)="Cash",LEFT(B138,4)="Prov"),0,SUMIFS('Input_APM (Zenith)'!N:N,'Input_APM (Zenith)'!L:L,'Check (Zenith)'!B138,'Input_APM (Zenith)'!M:M,'Check (Zenith)'!$C$1)))</f>
        <v/>
      </c>
      <c r="D138" s="212" t="str">
        <f>IF(B138="","",IF(OR(LEFT(B138,4)="Cash",LEFT(B138,4)="Prov"),0,SUMIFS('Input_APM (Zenith)'!N:N,'Input_APM (Zenith)'!L:L,'Check (Zenith)'!B138,'Input_APM (Zenith)'!M:M,'Check (Zenith)'!$D$1)))</f>
        <v/>
      </c>
      <c r="E138" s="212" t="str">
        <f t="shared" si="2"/>
        <v/>
      </c>
    </row>
    <row r="139" spans="3:5">
      <c r="C139" s="212" t="str">
        <f>IF(B139="","",IF(OR(LEFT(B139,4)="Cash",LEFT(B139,4)="Prov"),0,SUMIFS('Input_APM (Zenith)'!N:N,'Input_APM (Zenith)'!L:L,'Check (Zenith)'!B139,'Input_APM (Zenith)'!M:M,'Check (Zenith)'!$C$1)))</f>
        <v/>
      </c>
      <c r="D139" s="212" t="str">
        <f>IF(B139="","",IF(OR(LEFT(B139,4)="Cash",LEFT(B139,4)="Prov"),0,SUMIFS('Input_APM (Zenith)'!N:N,'Input_APM (Zenith)'!L:L,'Check (Zenith)'!B139,'Input_APM (Zenith)'!M:M,'Check (Zenith)'!$D$1)))</f>
        <v/>
      </c>
      <c r="E139" s="212" t="str">
        <f t="shared" si="2"/>
        <v/>
      </c>
    </row>
    <row r="140" spans="3:5">
      <c r="C140" s="212" t="str">
        <f>IF(B140="","",IF(OR(LEFT(B140,4)="Cash",LEFT(B140,4)="Prov"),0,SUMIFS('Input_APM (Zenith)'!N:N,'Input_APM (Zenith)'!L:L,'Check (Zenith)'!B140,'Input_APM (Zenith)'!M:M,'Check (Zenith)'!$C$1)))</f>
        <v/>
      </c>
      <c r="D140" s="212" t="str">
        <f>IF(B140="","",IF(OR(LEFT(B140,4)="Cash",LEFT(B140,4)="Prov"),0,SUMIFS('Input_APM (Zenith)'!N:N,'Input_APM (Zenith)'!L:L,'Check (Zenith)'!B140,'Input_APM (Zenith)'!M:M,'Check (Zenith)'!$D$1)))</f>
        <v/>
      </c>
      <c r="E140" s="212" t="str">
        <f t="shared" si="2"/>
        <v/>
      </c>
    </row>
    <row r="141" spans="3:5">
      <c r="C141" s="212" t="str">
        <f>IF(B141="","",IF(OR(LEFT(B141,4)="Cash",LEFT(B141,4)="Prov"),0,SUMIFS('Input_APM (Zenith)'!N:N,'Input_APM (Zenith)'!L:L,'Check (Zenith)'!B141,'Input_APM (Zenith)'!M:M,'Check (Zenith)'!$C$1)))</f>
        <v/>
      </c>
      <c r="D141" s="212" t="str">
        <f>IF(B141="","",IF(OR(LEFT(B141,4)="Cash",LEFT(B141,4)="Prov"),0,SUMIFS('Input_APM (Zenith)'!N:N,'Input_APM (Zenith)'!L:L,'Check (Zenith)'!B141,'Input_APM (Zenith)'!M:M,'Check (Zenith)'!$D$1)))</f>
        <v/>
      </c>
      <c r="E141" s="212" t="str">
        <f t="shared" si="2"/>
        <v/>
      </c>
    </row>
    <row r="142" spans="3:5">
      <c r="C142" s="212" t="str">
        <f>IF(B142="","",IF(OR(LEFT(B142,4)="Cash",LEFT(B142,4)="Prov"),0,SUMIFS('Input_APM (Zenith)'!N:N,'Input_APM (Zenith)'!L:L,'Check (Zenith)'!B142,'Input_APM (Zenith)'!M:M,'Check (Zenith)'!$C$1)))</f>
        <v/>
      </c>
      <c r="D142" s="212" t="str">
        <f>IF(B142="","",IF(OR(LEFT(B142,4)="Cash",LEFT(B142,4)="Prov"),0,SUMIFS('Input_APM (Zenith)'!N:N,'Input_APM (Zenith)'!L:L,'Check (Zenith)'!B142,'Input_APM (Zenith)'!M:M,'Check (Zenith)'!$D$1)))</f>
        <v/>
      </c>
      <c r="E142" s="212" t="str">
        <f t="shared" si="2"/>
        <v/>
      </c>
    </row>
    <row r="143" spans="3:5">
      <c r="C143" s="212" t="str">
        <f>IF(B143="","",IF(OR(LEFT(B143,4)="Cash",LEFT(B143,4)="Prov"),0,SUMIFS('Input_APM (Zenith)'!N:N,'Input_APM (Zenith)'!L:L,'Check (Zenith)'!B143,'Input_APM (Zenith)'!M:M,'Check (Zenith)'!$C$1)))</f>
        <v/>
      </c>
      <c r="D143" s="212" t="str">
        <f>IF(B143="","",IF(OR(LEFT(B143,4)="Cash",LEFT(B143,4)="Prov"),0,SUMIFS('Input_APM (Zenith)'!N:N,'Input_APM (Zenith)'!L:L,'Check (Zenith)'!B143,'Input_APM (Zenith)'!M:M,'Check (Zenith)'!$D$1)))</f>
        <v/>
      </c>
      <c r="E143" s="212" t="str">
        <f t="shared" si="2"/>
        <v/>
      </c>
    </row>
    <row r="144" spans="3:5">
      <c r="C144" s="212" t="str">
        <f>IF(B144="","",IF(OR(LEFT(B144,4)="Cash",LEFT(B144,4)="Prov"),0,SUMIFS('Input_APM (Zenith)'!N:N,'Input_APM (Zenith)'!L:L,'Check (Zenith)'!B144,'Input_APM (Zenith)'!M:M,'Check (Zenith)'!$C$1)))</f>
        <v/>
      </c>
      <c r="D144" s="212" t="str">
        <f>IF(B144="","",IF(OR(LEFT(B144,4)="Cash",LEFT(B144,4)="Prov"),0,SUMIFS('Input_APM (Zenith)'!N:N,'Input_APM (Zenith)'!L:L,'Check (Zenith)'!B144,'Input_APM (Zenith)'!M:M,'Check (Zenith)'!$D$1)))</f>
        <v/>
      </c>
      <c r="E144" s="212" t="str">
        <f t="shared" si="2"/>
        <v/>
      </c>
    </row>
    <row r="145" spans="3:5">
      <c r="C145" s="212" t="str">
        <f>IF(B145="","",IF(OR(LEFT(B145,4)="Cash",LEFT(B145,4)="Prov"),0,SUMIFS('Input_APM (Zenith)'!N:N,'Input_APM (Zenith)'!L:L,'Check (Zenith)'!B145,'Input_APM (Zenith)'!M:M,'Check (Zenith)'!$C$1)))</f>
        <v/>
      </c>
      <c r="D145" s="212" t="str">
        <f>IF(B145="","",IF(OR(LEFT(B145,4)="Cash",LEFT(B145,4)="Prov"),0,SUMIFS('Input_APM (Zenith)'!N:N,'Input_APM (Zenith)'!L:L,'Check (Zenith)'!B145,'Input_APM (Zenith)'!M:M,'Check (Zenith)'!$D$1)))</f>
        <v/>
      </c>
      <c r="E145" s="212" t="str">
        <f t="shared" si="2"/>
        <v/>
      </c>
    </row>
    <row r="146" spans="3:5">
      <c r="C146" s="212" t="str">
        <f>IF(B146="","",IF(OR(LEFT(B146,4)="Cash",LEFT(B146,4)="Prov"),0,SUMIFS('Input_APM (Zenith)'!N:N,'Input_APM (Zenith)'!L:L,'Check (Zenith)'!B146,'Input_APM (Zenith)'!M:M,'Check (Zenith)'!$C$1)))</f>
        <v/>
      </c>
      <c r="D146" s="212" t="str">
        <f>IF(B146="","",IF(OR(LEFT(B146,4)="Cash",LEFT(B146,4)="Prov"),0,SUMIFS('Input_APM (Zenith)'!N:N,'Input_APM (Zenith)'!L:L,'Check (Zenith)'!B146,'Input_APM (Zenith)'!M:M,'Check (Zenith)'!$D$1)))</f>
        <v/>
      </c>
      <c r="E146" s="212" t="str">
        <f t="shared" ref="E146:E151" si="3">IF(B146="","",C146-D146)</f>
        <v/>
      </c>
    </row>
    <row r="147" spans="3:5">
      <c r="C147" s="212" t="str">
        <f>IF(B147="","",IF(OR(LEFT(B147,4)="Cash",LEFT(B147,4)="Prov"),0,SUMIFS('Input_APM (Zenith)'!N:N,'Input_APM (Zenith)'!L:L,'Check (Zenith)'!B147,'Input_APM (Zenith)'!M:M,'Check (Zenith)'!$C$1)))</f>
        <v/>
      </c>
      <c r="D147" s="212" t="str">
        <f>IF(B147="","",IF(OR(LEFT(B147,4)="Cash",LEFT(B147,4)="Prov"),0,SUMIFS('Input_APM (Zenith)'!N:N,'Input_APM (Zenith)'!L:L,'Check (Zenith)'!B147,'Input_APM (Zenith)'!M:M,'Check (Zenith)'!$D$1)))</f>
        <v/>
      </c>
      <c r="E147" s="212" t="str">
        <f t="shared" si="3"/>
        <v/>
      </c>
    </row>
    <row r="148" spans="3:5">
      <c r="C148" s="212" t="str">
        <f>IF(B148="","",IF(OR(LEFT(B148,4)="Cash",LEFT(B148,4)="Prov"),0,SUMIFS('Input_APM (Zenith)'!N:N,'Input_APM (Zenith)'!L:L,'Check (Zenith)'!B148,'Input_APM (Zenith)'!M:M,'Check (Zenith)'!$C$1)))</f>
        <v/>
      </c>
      <c r="D148" s="212" t="str">
        <f>IF(B148="","",IF(OR(LEFT(B148,4)="Cash",LEFT(B148,4)="Prov"),0,SUMIFS('Input_APM (Zenith)'!N:N,'Input_APM (Zenith)'!L:L,'Check (Zenith)'!B148,'Input_APM (Zenith)'!M:M,'Check (Zenith)'!$D$1)))</f>
        <v/>
      </c>
      <c r="E148" s="212" t="str">
        <f t="shared" si="3"/>
        <v/>
      </c>
    </row>
    <row r="149" spans="3:5">
      <c r="C149" s="212" t="str">
        <f>IF(B149="","",IF(OR(LEFT(B149,4)="Cash",LEFT(B149,4)="Prov"),0,SUMIFS('Input_APM (Zenith)'!N:N,'Input_APM (Zenith)'!L:L,'Check (Zenith)'!B149,'Input_APM (Zenith)'!M:M,'Check (Zenith)'!$C$1)))</f>
        <v/>
      </c>
      <c r="D149" s="212" t="str">
        <f>IF(B149="","",IF(OR(LEFT(B149,4)="Cash",LEFT(B149,4)="Prov"),0,SUMIFS('Input_APM (Zenith)'!N:N,'Input_APM (Zenith)'!L:L,'Check (Zenith)'!B149,'Input_APM (Zenith)'!M:M,'Check (Zenith)'!$D$1)))</f>
        <v/>
      </c>
      <c r="E149" s="212" t="str">
        <f t="shared" si="3"/>
        <v/>
      </c>
    </row>
    <row r="150" spans="3:5">
      <c r="C150" s="212" t="str">
        <f>IF(B150="","",IF(OR(LEFT(B150,4)="Cash",LEFT(B150,4)="Prov"),0,SUMIFS('Input_APM (Zenith)'!N:N,'Input_APM (Zenith)'!L:L,'Check (Zenith)'!B150,'Input_APM (Zenith)'!M:M,'Check (Zenith)'!$C$1)))</f>
        <v/>
      </c>
      <c r="D150" s="212" t="str">
        <f>IF(B150="","",IF(OR(LEFT(B150,4)="Cash",LEFT(B150,4)="Prov"),0,SUMIFS('Input_APM (Zenith)'!N:N,'Input_APM (Zenith)'!L:L,'Check (Zenith)'!B150,'Input_APM (Zenith)'!M:M,'Check (Zenith)'!$D$1)))</f>
        <v/>
      </c>
      <c r="E150" s="212" t="str">
        <f t="shared" si="3"/>
        <v/>
      </c>
    </row>
    <row r="151" spans="3:5">
      <c r="C151" s="212" t="str">
        <f>IF(B151="","",IF(OR(LEFT(B151,4)="Cash",LEFT(B151,4)="Prov"),0,SUMIFS('Input_APM (Zenith)'!N:N,'Input_APM (Zenith)'!L:L,'Check (Zenith)'!B151,'Input_APM (Zenith)'!M:M,'Check (Zenith)'!$C$1)))</f>
        <v/>
      </c>
      <c r="D151" s="212" t="str">
        <f>IF(B151="","",IF(OR(LEFT(B151,4)="Cash",LEFT(B151,4)="Prov"),0,SUMIFS('Input_APM (Zenith)'!N:N,'Input_APM (Zenith)'!L:L,'Check (Zenith)'!B151,'Input_APM (Zenith)'!M:M,'Check (Zenith)'!$D$1)))</f>
        <v/>
      </c>
      <c r="E151" s="212" t="str">
        <f t="shared" si="3"/>
        <v/>
      </c>
    </row>
  </sheetData>
  <autoFilter ref="B4:E151" xr:uid="{9E4F1D26-094B-44C9-B22D-3C955B582AF3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Copiar_Trades_APM_zenith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D4CEA-241D-48BA-B6F9-AB226329AD56}">
  <sheetPr codeName="Sheet12">
    <tabColor theme="5" tint="0.79998168889431442"/>
  </sheetPr>
  <dimension ref="A1:G136"/>
  <sheetViews>
    <sheetView showGridLines="0" workbookViewId="0">
      <selection activeCell="C3" sqref="C3"/>
    </sheetView>
  </sheetViews>
  <sheetFormatPr defaultRowHeight="15"/>
  <cols>
    <col min="1" max="1" width="16.5703125" customWidth="1"/>
    <col min="2" max="2" width="70.5703125" bestFit="1" customWidth="1"/>
    <col min="3" max="3" width="6.7109375" bestFit="1" customWidth="1"/>
    <col min="6" max="6" width="54" bestFit="1" customWidth="1"/>
    <col min="7" max="7" width="23.28515625" bestFit="1" customWidth="1"/>
  </cols>
  <sheetData>
    <row r="1" spans="1:7">
      <c r="A1" s="200"/>
      <c r="B1" s="201" t="s">
        <v>339</v>
      </c>
      <c r="C1" s="202" t="s">
        <v>340</v>
      </c>
    </row>
    <row r="2" spans="1:7">
      <c r="A2" s="203" t="s">
        <v>341</v>
      </c>
      <c r="B2" s="204">
        <f ca="1">TODAY()+C2</f>
        <v>46056</v>
      </c>
      <c r="C2" s="205">
        <v>0</v>
      </c>
    </row>
    <row r="3" spans="1:7">
      <c r="A3" s="203" t="s">
        <v>342</v>
      </c>
      <c r="B3" s="231">
        <f ca="1">B2-1</f>
        <v>46055</v>
      </c>
      <c r="C3" s="206" t="s">
        <v>343</v>
      </c>
      <c r="F3" s="21" t="s">
        <v>344</v>
      </c>
      <c r="G3" s="21" t="s">
        <v>345</v>
      </c>
    </row>
    <row r="4" spans="1:7">
      <c r="A4" s="221" t="s">
        <v>346</v>
      </c>
      <c r="B4" s="223" t="str">
        <f ca="1">"P:\Bernardo Muzzi\Gerencial Daniel\"&amp;"BooksOverviewResume" &amp; IF(LEN(DAY(Ontem))=1,"0"&amp;DAY(Ontem),DAY(Ontem)) &amp; CHOOSE(MONTH(Ontem),"Jan","Feb","Mar","Apr","May","Jun","Jul","Aug","Sep","Oct","Nov","Dec") &amp; YEAR(Ontem)</f>
        <v>P:\Bernardo Muzzi\Gerencial Daniel\BooksOverviewResume02Feb2026</v>
      </c>
      <c r="C4" s="223" t="s">
        <v>343</v>
      </c>
      <c r="F4" s="21" t="s">
        <v>347</v>
      </c>
      <c r="G4" s="21" t="s">
        <v>347</v>
      </c>
    </row>
    <row r="5" spans="1:7">
      <c r="A5" s="222" t="s">
        <v>348</v>
      </c>
      <c r="B5" s="207" t="str">
        <f ca="1">"P:\Bernardo Muzzi\Gerencial Daniel\"&amp;"BooksOverviewResume" &amp; IF(LEN(DAY(Ontem))=1,"0"&amp;DAY(Ontem),DAY(Ontem)) &amp; CHOOSE(MONTH(Ontem),"Jan","Feb","Mar","Apr","May","Jun","Jul","Aug","Sep","Oct","Nov","Dec") &amp; YEAR(Ontem)&amp;"_zenith"</f>
        <v>P:\Bernardo Muzzi\Gerencial Daniel\BooksOverviewResume02Feb2026_zenith</v>
      </c>
      <c r="C5" s="207" t="s">
        <v>343</v>
      </c>
      <c r="F5" s="21" t="s">
        <v>134</v>
      </c>
      <c r="G5" s="21" t="s">
        <v>134</v>
      </c>
    </row>
    <row r="6" spans="1:7">
      <c r="F6" s="21" t="s">
        <v>90</v>
      </c>
      <c r="G6" s="21" t="s">
        <v>90</v>
      </c>
    </row>
    <row r="7" spans="1:7">
      <c r="F7" s="21" t="s">
        <v>349</v>
      </c>
      <c r="G7" s="21" t="s">
        <v>350</v>
      </c>
    </row>
    <row r="8" spans="1:7">
      <c r="F8" s="21" t="s">
        <v>351</v>
      </c>
      <c r="G8" s="21" t="s">
        <v>350</v>
      </c>
    </row>
    <row r="9" spans="1:7">
      <c r="F9" s="21" t="s">
        <v>352</v>
      </c>
      <c r="G9" s="21" t="s">
        <v>350</v>
      </c>
    </row>
    <row r="10" spans="1:7">
      <c r="F10" t="s">
        <v>2131</v>
      </c>
      <c r="G10" t="s">
        <v>1761</v>
      </c>
    </row>
    <row r="11" spans="1:7">
      <c r="F11" s="21" t="s">
        <v>79</v>
      </c>
      <c r="G11" s="21" t="s">
        <v>79</v>
      </c>
    </row>
    <row r="12" spans="1:7">
      <c r="F12" s="21" t="s">
        <v>80</v>
      </c>
      <c r="G12" s="21" t="s">
        <v>80</v>
      </c>
    </row>
    <row r="13" spans="1:7">
      <c r="F13" s="21" t="s">
        <v>354</v>
      </c>
      <c r="G13" s="21" t="s">
        <v>355</v>
      </c>
    </row>
    <row r="14" spans="1:7">
      <c r="F14" s="21" t="s">
        <v>94</v>
      </c>
      <c r="G14" s="21" t="s">
        <v>94</v>
      </c>
    </row>
    <row r="15" spans="1:7">
      <c r="F15" s="21" t="s">
        <v>138</v>
      </c>
      <c r="G15" s="21" t="s">
        <v>138</v>
      </c>
    </row>
    <row r="16" spans="1:7">
      <c r="F16" s="21" t="s">
        <v>137</v>
      </c>
      <c r="G16" s="21" t="s">
        <v>137</v>
      </c>
    </row>
    <row r="17" spans="6:7">
      <c r="F17" s="21" t="s">
        <v>356</v>
      </c>
      <c r="G17" s="21" t="s">
        <v>356</v>
      </c>
    </row>
    <row r="18" spans="6:7">
      <c r="F18" s="21" t="s">
        <v>86</v>
      </c>
      <c r="G18" s="21" t="s">
        <v>86</v>
      </c>
    </row>
    <row r="19" spans="6:7">
      <c r="F19" s="21" t="s">
        <v>87</v>
      </c>
      <c r="G19" s="21" t="s">
        <v>87</v>
      </c>
    </row>
    <row r="20" spans="6:7">
      <c r="F20" s="21" t="s">
        <v>6</v>
      </c>
      <c r="G20" s="21" t="s">
        <v>6</v>
      </c>
    </row>
    <row r="21" spans="6:7">
      <c r="F21" s="21" t="s">
        <v>88</v>
      </c>
      <c r="G21" s="21" t="s">
        <v>88</v>
      </c>
    </row>
    <row r="22" spans="6:7">
      <c r="F22" s="208" t="s">
        <v>1857</v>
      </c>
      <c r="G22" s="347" t="s">
        <v>1854</v>
      </c>
    </row>
    <row r="23" spans="6:7">
      <c r="F23" s="208" t="s">
        <v>1857</v>
      </c>
      <c r="G23" s="347" t="s">
        <v>1854</v>
      </c>
    </row>
    <row r="24" spans="6:7">
      <c r="F24" s="208" t="s">
        <v>1864</v>
      </c>
      <c r="G24" s="347" t="s">
        <v>1854</v>
      </c>
    </row>
    <row r="25" spans="6:7">
      <c r="F25" s="208" t="s">
        <v>1864</v>
      </c>
      <c r="G25" s="347" t="s">
        <v>1854</v>
      </c>
    </row>
    <row r="26" spans="6:7">
      <c r="F26" s="208" t="s">
        <v>1867</v>
      </c>
      <c r="G26" s="347" t="s">
        <v>1854</v>
      </c>
    </row>
    <row r="27" spans="6:7">
      <c r="F27" s="208" t="s">
        <v>1867</v>
      </c>
      <c r="G27" s="347" t="s">
        <v>1854</v>
      </c>
    </row>
    <row r="28" spans="6:7">
      <c r="F28" s="208" t="s">
        <v>1870</v>
      </c>
      <c r="G28" s="347" t="s">
        <v>1854</v>
      </c>
    </row>
    <row r="29" spans="6:7">
      <c r="F29" s="208" t="s">
        <v>1870</v>
      </c>
      <c r="G29" s="347" t="s">
        <v>1854</v>
      </c>
    </row>
    <row r="30" spans="6:7">
      <c r="F30" s="21" t="s">
        <v>50</v>
      </c>
      <c r="G30" s="21" t="s">
        <v>50</v>
      </c>
    </row>
    <row r="31" spans="6:7">
      <c r="F31" s="21" t="s">
        <v>135</v>
      </c>
      <c r="G31" s="21" t="s">
        <v>135</v>
      </c>
    </row>
    <row r="32" spans="6:7">
      <c r="F32" s="21" t="s">
        <v>136</v>
      </c>
      <c r="G32" s="21" t="s">
        <v>136</v>
      </c>
    </row>
    <row r="33" spans="6:7">
      <c r="F33" s="21" t="s">
        <v>142</v>
      </c>
      <c r="G33" s="21" t="s">
        <v>142</v>
      </c>
    </row>
    <row r="34" spans="6:7">
      <c r="F34" s="21" t="s">
        <v>1885</v>
      </c>
      <c r="G34" s="21" t="s">
        <v>1742</v>
      </c>
    </row>
    <row r="35" spans="6:7">
      <c r="F35" s="356" t="s">
        <v>1884</v>
      </c>
      <c r="G35" s="162" t="s">
        <v>1881</v>
      </c>
    </row>
    <row r="36" spans="6:7">
      <c r="F36" s="356" t="s">
        <v>1883</v>
      </c>
      <c r="G36" s="21" t="s">
        <v>1882</v>
      </c>
    </row>
    <row r="37" spans="6:7">
      <c r="F37" s="21" t="s">
        <v>148</v>
      </c>
      <c r="G37" s="21" t="s">
        <v>148</v>
      </c>
    </row>
    <row r="38" spans="6:7">
      <c r="F38" s="21" t="s">
        <v>0</v>
      </c>
      <c r="G38" s="21" t="s">
        <v>0</v>
      </c>
    </row>
    <row r="39" spans="6:7">
      <c r="F39" s="21" t="s">
        <v>1886</v>
      </c>
      <c r="G39" s="21" t="s">
        <v>2</v>
      </c>
    </row>
    <row r="40" spans="6:7">
      <c r="F40" t="s">
        <v>131</v>
      </c>
      <c r="G40" s="21" t="s">
        <v>2136</v>
      </c>
    </row>
    <row r="41" spans="6:7">
      <c r="F41" s="21" t="s">
        <v>359</v>
      </c>
      <c r="G41" s="21" t="s">
        <v>360</v>
      </c>
    </row>
    <row r="42" spans="6:7">
      <c r="F42" s="21" t="s">
        <v>361</v>
      </c>
      <c r="G42" s="21" t="s">
        <v>362</v>
      </c>
    </row>
    <row r="43" spans="6:7">
      <c r="F43" s="21" t="s">
        <v>363</v>
      </c>
      <c r="G43" s="21" t="s">
        <v>362</v>
      </c>
    </row>
    <row r="44" spans="6:7">
      <c r="F44" s="21" t="s">
        <v>364</v>
      </c>
      <c r="G44" s="21" t="s">
        <v>364</v>
      </c>
    </row>
    <row r="45" spans="6:7">
      <c r="F45" s="21" t="s">
        <v>365</v>
      </c>
      <c r="G45" s="21" t="s">
        <v>365</v>
      </c>
    </row>
    <row r="46" spans="6:7">
      <c r="F46" s="21" t="s">
        <v>326</v>
      </c>
      <c r="G46" s="21" t="s">
        <v>81</v>
      </c>
    </row>
    <row r="47" spans="6:7">
      <c r="F47" s="21" t="s">
        <v>366</v>
      </c>
      <c r="G47" s="21" t="s">
        <v>355</v>
      </c>
    </row>
    <row r="48" spans="6:7">
      <c r="F48" s="21" t="s">
        <v>367</v>
      </c>
      <c r="G48" s="21" t="s">
        <v>140</v>
      </c>
    </row>
    <row r="49" spans="6:7">
      <c r="F49" s="21" t="s">
        <v>368</v>
      </c>
      <c r="G49" s="21" t="s">
        <v>140</v>
      </c>
    </row>
    <row r="50" spans="6:7">
      <c r="F50" s="21" t="s">
        <v>1908</v>
      </c>
      <c r="G50" s="21" t="s">
        <v>1909</v>
      </c>
    </row>
    <row r="51" spans="6:7">
      <c r="F51" s="21" t="s">
        <v>1845</v>
      </c>
      <c r="G51" s="21" t="s">
        <v>1844</v>
      </c>
    </row>
    <row r="52" spans="6:7">
      <c r="F52" s="21" t="s">
        <v>358</v>
      </c>
      <c r="G52" s="21" t="s">
        <v>2</v>
      </c>
    </row>
    <row r="53" spans="6:7">
      <c r="F53" s="208" t="s">
        <v>1868</v>
      </c>
      <c r="G53" s="347" t="s">
        <v>1853</v>
      </c>
    </row>
    <row r="54" spans="6:7">
      <c r="F54" s="208" t="s">
        <v>1868</v>
      </c>
      <c r="G54" s="347" t="s">
        <v>1853</v>
      </c>
    </row>
    <row r="55" spans="6:7">
      <c r="F55" s="208" t="s">
        <v>1865</v>
      </c>
      <c r="G55" s="347" t="s">
        <v>1853</v>
      </c>
    </row>
    <row r="56" spans="6:7">
      <c r="F56" s="208" t="s">
        <v>1865</v>
      </c>
      <c r="G56" s="347" t="s">
        <v>1853</v>
      </c>
    </row>
    <row r="57" spans="6:7">
      <c r="F57" s="208" t="s">
        <v>1869</v>
      </c>
      <c r="G57" s="347" t="s">
        <v>1853</v>
      </c>
    </row>
    <row r="58" spans="6:7">
      <c r="F58" s="208" t="s">
        <v>1869</v>
      </c>
      <c r="G58" s="347" t="s">
        <v>1853</v>
      </c>
    </row>
    <row r="59" spans="6:7">
      <c r="F59" s="208" t="s">
        <v>1871</v>
      </c>
      <c r="G59" s="347" t="s">
        <v>1853</v>
      </c>
    </row>
    <row r="60" spans="6:7">
      <c r="F60" s="208" t="s">
        <v>1871</v>
      </c>
      <c r="G60" s="347" t="s">
        <v>1853</v>
      </c>
    </row>
    <row r="61" spans="6:7">
      <c r="F61" s="21" t="s">
        <v>1851</v>
      </c>
      <c r="G61" s="21" t="s">
        <v>1844</v>
      </c>
    </row>
    <row r="62" spans="6:7">
      <c r="F62" s="21" t="s">
        <v>370</v>
      </c>
      <c r="G62" s="21" t="s">
        <v>371</v>
      </c>
    </row>
    <row r="63" spans="6:7">
      <c r="F63" s="21" t="s">
        <v>372</v>
      </c>
      <c r="G63" s="21" t="s">
        <v>373</v>
      </c>
    </row>
    <row r="64" spans="6:7">
      <c r="F64" s="21" t="s">
        <v>370</v>
      </c>
      <c r="G64" s="21" t="s">
        <v>371</v>
      </c>
    </row>
    <row r="65" spans="6:7">
      <c r="F65" s="21" t="s">
        <v>374</v>
      </c>
      <c r="G65" s="21" t="s">
        <v>371</v>
      </c>
    </row>
    <row r="66" spans="6:7">
      <c r="F66" s="21" t="s">
        <v>372</v>
      </c>
      <c r="G66" s="21" t="s">
        <v>373</v>
      </c>
    </row>
    <row r="67" spans="6:7">
      <c r="F67" s="21" t="s">
        <v>375</v>
      </c>
      <c r="G67" s="21" t="s">
        <v>373</v>
      </c>
    </row>
    <row r="68" spans="6:7">
      <c r="F68" s="21" t="s">
        <v>375</v>
      </c>
      <c r="G68" s="21" t="s">
        <v>373</v>
      </c>
    </row>
    <row r="69" spans="6:7">
      <c r="F69" s="21" t="s">
        <v>376</v>
      </c>
      <c r="G69" s="21"/>
    </row>
    <row r="70" spans="6:7">
      <c r="F70" s="21" t="s">
        <v>376</v>
      </c>
      <c r="G70" s="21"/>
    </row>
    <row r="71" spans="6:7">
      <c r="F71" s="21" t="s">
        <v>377</v>
      </c>
      <c r="G71" s="21" t="s">
        <v>378</v>
      </c>
    </row>
    <row r="72" spans="6:7">
      <c r="F72" s="21" t="s">
        <v>377</v>
      </c>
      <c r="G72" s="21" t="s">
        <v>378</v>
      </c>
    </row>
    <row r="73" spans="6:7">
      <c r="F73" s="21" t="s">
        <v>379</v>
      </c>
      <c r="G73" s="21" t="s">
        <v>369</v>
      </c>
    </row>
    <row r="74" spans="6:7">
      <c r="F74" s="21" t="s">
        <v>379</v>
      </c>
      <c r="G74" s="21" t="s">
        <v>369</v>
      </c>
    </row>
    <row r="75" spans="6:7">
      <c r="F75" s="21" t="s">
        <v>380</v>
      </c>
      <c r="G75" s="21" t="s">
        <v>381</v>
      </c>
    </row>
    <row r="76" spans="6:7">
      <c r="F76" s="21" t="s">
        <v>380</v>
      </c>
      <c r="G76" s="21" t="s">
        <v>381</v>
      </c>
    </row>
    <row r="77" spans="6:7">
      <c r="F77" s="21" t="s">
        <v>382</v>
      </c>
      <c r="G77" s="21" t="s">
        <v>381</v>
      </c>
    </row>
    <row r="78" spans="6:7">
      <c r="F78" s="21" t="s">
        <v>382</v>
      </c>
      <c r="G78" s="21" t="s">
        <v>381</v>
      </c>
    </row>
    <row r="79" spans="6:7">
      <c r="F79" s="21" t="s">
        <v>370</v>
      </c>
      <c r="G79" s="21" t="s">
        <v>371</v>
      </c>
    </row>
    <row r="80" spans="6:7">
      <c r="F80" s="21" t="s">
        <v>370</v>
      </c>
      <c r="G80" s="21" t="s">
        <v>373</v>
      </c>
    </row>
    <row r="81" spans="6:7">
      <c r="F81" s="21" t="s">
        <v>374</v>
      </c>
      <c r="G81" s="21" t="s">
        <v>371</v>
      </c>
    </row>
    <row r="82" spans="6:7">
      <c r="F82" s="21" t="s">
        <v>374</v>
      </c>
      <c r="G82" s="21" t="s">
        <v>373</v>
      </c>
    </row>
    <row r="83" spans="6:7">
      <c r="F83" s="21" t="s">
        <v>372</v>
      </c>
      <c r="G83" s="21" t="s">
        <v>373</v>
      </c>
    </row>
    <row r="84" spans="6:7">
      <c r="F84" s="21" t="s">
        <v>372</v>
      </c>
      <c r="G84" s="21" t="s">
        <v>373</v>
      </c>
    </row>
    <row r="85" spans="6:7">
      <c r="F85" s="21" t="s">
        <v>375</v>
      </c>
      <c r="G85" s="21" t="s">
        <v>373</v>
      </c>
    </row>
    <row r="86" spans="6:7">
      <c r="F86" s="21" t="s">
        <v>375</v>
      </c>
      <c r="G86" s="21" t="s">
        <v>373</v>
      </c>
    </row>
    <row r="87" spans="6:7">
      <c r="F87" s="21" t="s">
        <v>380</v>
      </c>
      <c r="G87" s="21" t="s">
        <v>381</v>
      </c>
    </row>
    <row r="88" spans="6:7">
      <c r="F88" s="21" t="s">
        <v>380</v>
      </c>
      <c r="G88" s="21" t="s">
        <v>381</v>
      </c>
    </row>
    <row r="89" spans="6:7">
      <c r="F89" s="21" t="s">
        <v>382</v>
      </c>
      <c r="G89" s="21" t="s">
        <v>381</v>
      </c>
    </row>
    <row r="90" spans="6:7">
      <c r="F90" s="21" t="s">
        <v>382</v>
      </c>
      <c r="G90" s="21" t="s">
        <v>381</v>
      </c>
    </row>
    <row r="91" spans="6:7">
      <c r="F91" s="21" t="s">
        <v>370</v>
      </c>
      <c r="G91" s="21" t="s">
        <v>381</v>
      </c>
    </row>
    <row r="92" spans="6:7">
      <c r="F92" s="21" t="s">
        <v>383</v>
      </c>
      <c r="G92" s="21" t="s">
        <v>381</v>
      </c>
    </row>
    <row r="93" spans="6:7">
      <c r="F93" s="21" t="s">
        <v>384</v>
      </c>
      <c r="G93" s="21" t="s">
        <v>381</v>
      </c>
    </row>
    <row r="94" spans="6:7">
      <c r="F94" s="21" t="s">
        <v>323</v>
      </c>
      <c r="G94" s="21" t="s">
        <v>2</v>
      </c>
    </row>
    <row r="95" spans="6:7">
      <c r="F95" s="21" t="s">
        <v>323</v>
      </c>
      <c r="G95" s="21" t="s">
        <v>2</v>
      </c>
    </row>
    <row r="96" spans="6:7">
      <c r="F96" s="21" t="s">
        <v>385</v>
      </c>
      <c r="G96" s="21" t="s">
        <v>386</v>
      </c>
    </row>
    <row r="97" spans="6:7">
      <c r="F97" s="21" t="s">
        <v>387</v>
      </c>
      <c r="G97" s="21" t="s">
        <v>388</v>
      </c>
    </row>
    <row r="98" spans="6:7">
      <c r="F98" s="21" t="s">
        <v>2136</v>
      </c>
      <c r="G98" s="21" t="s">
        <v>2136</v>
      </c>
    </row>
    <row r="99" spans="6:7">
      <c r="F99" s="21" t="s">
        <v>196</v>
      </c>
      <c r="G99" s="21" t="s">
        <v>389</v>
      </c>
    </row>
    <row r="100" spans="6:7">
      <c r="F100" s="21" t="s">
        <v>390</v>
      </c>
      <c r="G100" s="21" t="s">
        <v>391</v>
      </c>
    </row>
    <row r="101" spans="6:7">
      <c r="F101" s="21" t="s">
        <v>329</v>
      </c>
      <c r="G101" s="21" t="s">
        <v>329</v>
      </c>
    </row>
    <row r="102" spans="6:7">
      <c r="F102" s="21" t="s">
        <v>331</v>
      </c>
      <c r="G102" s="21" t="s">
        <v>331</v>
      </c>
    </row>
    <row r="103" spans="6:7">
      <c r="F103" s="21" t="s">
        <v>316</v>
      </c>
      <c r="G103" s="21" t="s">
        <v>272</v>
      </c>
    </row>
    <row r="104" spans="6:7">
      <c r="F104" s="21" t="s">
        <v>1857</v>
      </c>
      <c r="G104" s="21" t="s">
        <v>1854</v>
      </c>
    </row>
    <row r="105" spans="6:7">
      <c r="F105" s="21" t="s">
        <v>1675</v>
      </c>
      <c r="G105" s="21" t="s">
        <v>350</v>
      </c>
    </row>
    <row r="106" spans="6:7">
      <c r="F106" s="21" t="s">
        <v>1675</v>
      </c>
      <c r="G106" s="21" t="s">
        <v>350</v>
      </c>
    </row>
    <row r="107" spans="6:7">
      <c r="F107" s="21" t="s">
        <v>1727</v>
      </c>
      <c r="G107" s="21" t="s">
        <v>1717</v>
      </c>
    </row>
    <row r="108" spans="6:7">
      <c r="F108" s="21" t="s">
        <v>1727</v>
      </c>
      <c r="G108" s="21" t="s">
        <v>1717</v>
      </c>
    </row>
    <row r="109" spans="6:7">
      <c r="F109" s="21" t="s">
        <v>1728</v>
      </c>
      <c r="G109" s="21" t="s">
        <v>1676</v>
      </c>
    </row>
    <row r="110" spans="6:7">
      <c r="F110" s="21" t="s">
        <v>1755</v>
      </c>
      <c r="G110" s="21" t="s">
        <v>1751</v>
      </c>
    </row>
    <row r="111" spans="6:7">
      <c r="F111" s="21" t="s">
        <v>1756</v>
      </c>
      <c r="G111" s="21" t="s">
        <v>1750</v>
      </c>
    </row>
    <row r="112" spans="6:7">
      <c r="F112" s="21" t="s">
        <v>1856</v>
      </c>
      <c r="G112" s="21" t="s">
        <v>1855</v>
      </c>
    </row>
    <row r="113" spans="6:7">
      <c r="F113" s="21" t="s">
        <v>1766</v>
      </c>
      <c r="G113" s="21" t="s">
        <v>1762</v>
      </c>
    </row>
    <row r="114" spans="6:7">
      <c r="F114" s="21" t="s">
        <v>1766</v>
      </c>
      <c r="G114" s="21" t="s">
        <v>1762</v>
      </c>
    </row>
    <row r="115" spans="6:7">
      <c r="F115" s="21" t="s">
        <v>1767</v>
      </c>
      <c r="G115" s="21" t="s">
        <v>1762</v>
      </c>
    </row>
    <row r="116" spans="6:7">
      <c r="F116" s="21" t="s">
        <v>1767</v>
      </c>
      <c r="G116" s="21" t="s">
        <v>1762</v>
      </c>
    </row>
    <row r="117" spans="6:7">
      <c r="F117" s="21" t="s">
        <v>1765</v>
      </c>
      <c r="G117" s="21" t="s">
        <v>1761</v>
      </c>
    </row>
    <row r="118" spans="6:7">
      <c r="F118" s="21" t="s">
        <v>1765</v>
      </c>
      <c r="G118" s="21" t="s">
        <v>1761</v>
      </c>
    </row>
    <row r="119" spans="6:7">
      <c r="F119" s="21" t="s">
        <v>1758</v>
      </c>
      <c r="G119" s="21" t="s">
        <v>1744</v>
      </c>
    </row>
    <row r="120" spans="6:7">
      <c r="F120" s="21" t="s">
        <v>1758</v>
      </c>
      <c r="G120" s="21" t="s">
        <v>1744</v>
      </c>
    </row>
    <row r="121" spans="6:7">
      <c r="F121" s="21" t="s">
        <v>1768</v>
      </c>
      <c r="G121" s="21" t="s">
        <v>1744</v>
      </c>
    </row>
    <row r="122" spans="6:7">
      <c r="F122" s="21" t="s">
        <v>1768</v>
      </c>
      <c r="G122" s="21" t="s">
        <v>1744</v>
      </c>
    </row>
    <row r="123" spans="6:7">
      <c r="F123" s="21" t="s">
        <v>1760</v>
      </c>
      <c r="G123" s="21" t="s">
        <v>1764</v>
      </c>
    </row>
    <row r="124" spans="6:7">
      <c r="F124" s="21" t="s">
        <v>1776</v>
      </c>
      <c r="G124" s="21" t="s">
        <v>1744</v>
      </c>
    </row>
    <row r="125" spans="6:7">
      <c r="F125" s="21" t="s">
        <v>1776</v>
      </c>
      <c r="G125" s="21" t="s">
        <v>1744</v>
      </c>
    </row>
    <row r="126" spans="6:7">
      <c r="F126" s="21" t="s">
        <v>1858</v>
      </c>
      <c r="G126" s="21" t="s">
        <v>1853</v>
      </c>
    </row>
    <row r="127" spans="6:7">
      <c r="F127" s="21" t="s">
        <v>1865</v>
      </c>
      <c r="G127" s="21" t="s">
        <v>1853</v>
      </c>
    </row>
    <row r="128" spans="6:7">
      <c r="F128" s="21" t="s">
        <v>1864</v>
      </c>
      <c r="G128" s="21" t="s">
        <v>1854</v>
      </c>
    </row>
    <row r="129" spans="6:7">
      <c r="F129" s="21" t="s">
        <v>1866</v>
      </c>
      <c r="G129" s="21" t="s">
        <v>1852</v>
      </c>
    </row>
    <row r="130" spans="6:7">
      <c r="F130" s="21" t="s">
        <v>1862</v>
      </c>
      <c r="G130" s="21" t="s">
        <v>1761</v>
      </c>
    </row>
    <row r="131" spans="6:7">
      <c r="F131" s="21" t="s">
        <v>1863</v>
      </c>
      <c r="G131" s="21" t="s">
        <v>1761</v>
      </c>
    </row>
    <row r="132" spans="6:7">
      <c r="F132" s="21" t="s">
        <v>1860</v>
      </c>
      <c r="G132" s="21" t="s">
        <v>1742</v>
      </c>
    </row>
    <row r="133" spans="6:7">
      <c r="F133" s="21" t="s">
        <v>1861</v>
      </c>
      <c r="G133" s="21" t="s">
        <v>1859</v>
      </c>
    </row>
    <row r="134" spans="6:7">
      <c r="F134" s="21" t="s">
        <v>1868</v>
      </c>
      <c r="G134" s="21" t="s">
        <v>1853</v>
      </c>
    </row>
    <row r="135" spans="6:7">
      <c r="F135" s="21" t="s">
        <v>1869</v>
      </c>
      <c r="G135" s="21" t="s">
        <v>1853</v>
      </c>
    </row>
    <row r="136" spans="6:7">
      <c r="F136" s="21" t="s">
        <v>1867</v>
      </c>
      <c r="G136" s="21" t="s">
        <v>1854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B63FC-1114-4E55-9369-B61530171CCD}">
  <sheetPr codeName="Sheet5"/>
  <dimension ref="A1:K77"/>
  <sheetViews>
    <sheetView topLeftCell="A52" zoomScaleNormal="100" workbookViewId="0">
      <selection activeCell="G72" sqref="G72"/>
    </sheetView>
  </sheetViews>
  <sheetFormatPr defaultRowHeight="15"/>
  <cols>
    <col min="2" max="2" width="13.28515625" customWidth="1"/>
    <col min="3" max="3" width="14.7109375" bestFit="1" customWidth="1"/>
    <col min="4" max="4" width="14.28515625" bestFit="1" customWidth="1"/>
    <col min="5" max="5" width="11" bestFit="1" customWidth="1"/>
    <col min="6" max="6" width="14.28515625" bestFit="1" customWidth="1"/>
    <col min="7" max="7" width="11.5703125" bestFit="1" customWidth="1"/>
    <col min="8" max="8" width="14.28515625" bestFit="1" customWidth="1"/>
    <col min="9" max="9" width="11.5703125" bestFit="1" customWidth="1"/>
    <col min="10" max="10" width="13.28515625" bestFit="1" customWidth="1"/>
    <col min="11" max="11" width="11.7109375" bestFit="1" customWidth="1"/>
  </cols>
  <sheetData>
    <row r="1" spans="2:8">
      <c r="C1" t="s">
        <v>414</v>
      </c>
      <c r="D1" t="s">
        <v>415</v>
      </c>
      <c r="E1" t="s">
        <v>169</v>
      </c>
      <c r="G1" s="3"/>
    </row>
    <row r="2" spans="2:8">
      <c r="B2" t="s">
        <v>416</v>
      </c>
      <c r="C2" s="3">
        <v>18750</v>
      </c>
      <c r="D2" s="3">
        <f>E2-C2</f>
        <v>56250</v>
      </c>
      <c r="E2" s="3">
        <v>75000</v>
      </c>
      <c r="G2" s="3"/>
    </row>
    <row r="3" spans="2:8">
      <c r="B3" t="s">
        <v>416</v>
      </c>
      <c r="C3" s="3">
        <f>E3*0.25</f>
        <v>6250</v>
      </c>
      <c r="D3" s="3">
        <f>E3-C3</f>
        <v>18750</v>
      </c>
      <c r="E3" s="3">
        <v>25000</v>
      </c>
      <c r="G3" s="3"/>
    </row>
    <row r="4" spans="2:8">
      <c r="B4" t="s">
        <v>417</v>
      </c>
      <c r="C4" s="3"/>
      <c r="D4" s="3">
        <v>75000</v>
      </c>
      <c r="E4" s="3">
        <v>75000</v>
      </c>
      <c r="G4" s="3"/>
    </row>
    <row r="5" spans="2:8">
      <c r="B5" t="s">
        <v>418</v>
      </c>
      <c r="C5" s="3">
        <v>100000</v>
      </c>
      <c r="D5" s="3">
        <v>10000</v>
      </c>
      <c r="E5" s="3">
        <v>200000</v>
      </c>
      <c r="G5" s="3"/>
    </row>
    <row r="6" spans="2:8">
      <c r="D6" s="3"/>
      <c r="G6" s="3"/>
    </row>
    <row r="7" spans="2:8">
      <c r="D7" s="3"/>
      <c r="G7" s="3"/>
    </row>
    <row r="8" spans="2:8">
      <c r="D8" s="3"/>
      <c r="G8" s="3"/>
    </row>
    <row r="9" spans="2:8">
      <c r="B9" s="79">
        <v>45460</v>
      </c>
      <c r="C9" t="s">
        <v>419</v>
      </c>
      <c r="D9" s="3">
        <v>-14000000</v>
      </c>
      <c r="E9" s="1">
        <v>73.75</v>
      </c>
      <c r="F9" t="s">
        <v>420</v>
      </c>
      <c r="G9" s="80">
        <f>192395+11198</f>
        <v>203593</v>
      </c>
      <c r="H9" s="81">
        <f t="shared" ref="H9:H14" si="0">G9/D9</f>
        <v>-1.4542357142857143E-2</v>
      </c>
    </row>
    <row r="10" spans="2:8">
      <c r="B10" s="79">
        <v>45460</v>
      </c>
      <c r="C10" t="s">
        <v>421</v>
      </c>
      <c r="D10" s="3">
        <v>14000000</v>
      </c>
      <c r="E10" s="1">
        <v>65</v>
      </c>
      <c r="F10" t="s">
        <v>420</v>
      </c>
      <c r="G10" s="3">
        <f>246264+14333</f>
        <v>260597</v>
      </c>
      <c r="H10" s="5">
        <f t="shared" si="0"/>
        <v>1.8614071428571428E-2</v>
      </c>
    </row>
    <row r="11" spans="2:8">
      <c r="B11" s="79">
        <v>45460</v>
      </c>
      <c r="C11" t="s">
        <v>419</v>
      </c>
      <c r="D11" s="3">
        <v>-11000000</v>
      </c>
      <c r="E11" s="1">
        <v>74.099999999999994</v>
      </c>
      <c r="F11" t="s">
        <v>422</v>
      </c>
      <c r="G11" s="80">
        <f>149481.1+8699.96</f>
        <v>158181.06</v>
      </c>
      <c r="H11" s="81">
        <f t="shared" si="0"/>
        <v>-1.4380096363636364E-2</v>
      </c>
    </row>
    <row r="12" spans="2:8">
      <c r="B12" s="79">
        <v>45460</v>
      </c>
      <c r="C12" t="s">
        <v>421</v>
      </c>
      <c r="D12" s="3">
        <v>11000000</v>
      </c>
      <c r="E12" s="1">
        <v>64</v>
      </c>
      <c r="F12" t="s">
        <v>422</v>
      </c>
      <c r="G12" s="3">
        <f>198349.3+11544.14</f>
        <v>209893.44</v>
      </c>
      <c r="H12" s="5">
        <f t="shared" si="0"/>
        <v>1.908122181818182E-2</v>
      </c>
    </row>
    <row r="13" spans="2:8">
      <c r="B13" s="79">
        <v>45457</v>
      </c>
      <c r="C13" t="s">
        <v>419</v>
      </c>
      <c r="D13" s="3">
        <v>40000000</v>
      </c>
      <c r="E13" s="1">
        <v>72.8</v>
      </c>
      <c r="F13" t="s">
        <v>420</v>
      </c>
      <c r="G13" s="80">
        <f>426259.38+24808.75</f>
        <v>451068.13</v>
      </c>
      <c r="H13" s="81">
        <f t="shared" si="0"/>
        <v>1.1276703250000001E-2</v>
      </c>
    </row>
    <row r="14" spans="2:8">
      <c r="B14" s="79">
        <v>45457</v>
      </c>
      <c r="C14" t="s">
        <v>419</v>
      </c>
      <c r="D14" s="3">
        <v>30000000</v>
      </c>
      <c r="E14" s="1">
        <v>72.48</v>
      </c>
      <c r="F14" t="s">
        <v>422</v>
      </c>
      <c r="G14" s="80">
        <f>426259.38+24808.75</f>
        <v>451068.13</v>
      </c>
      <c r="H14" s="81">
        <f t="shared" si="0"/>
        <v>1.5035604333333334E-2</v>
      </c>
    </row>
    <row r="16" spans="2:8">
      <c r="G16" s="3"/>
    </row>
    <row r="17" spans="2:11">
      <c r="B17" t="s">
        <v>247</v>
      </c>
      <c r="C17" t="s">
        <v>419</v>
      </c>
      <c r="D17" s="3">
        <v>70000000</v>
      </c>
      <c r="E17" s="1">
        <f>((D13*E13)+(D14*E14))/D17</f>
        <v>72.662857142857149</v>
      </c>
      <c r="G17" s="3"/>
    </row>
    <row r="18" spans="2:11">
      <c r="B18" t="s">
        <v>248</v>
      </c>
      <c r="C18" t="s">
        <v>419</v>
      </c>
      <c r="D18" s="3">
        <v>-25000000</v>
      </c>
      <c r="E18" s="1">
        <f>((D9*E9)+(D11*E11))/D18</f>
        <v>73.903999999999996</v>
      </c>
      <c r="G18" s="3"/>
    </row>
    <row r="19" spans="2:11">
      <c r="B19" t="s">
        <v>248</v>
      </c>
      <c r="C19" t="s">
        <v>419</v>
      </c>
      <c r="D19" s="17">
        <v>-22500000</v>
      </c>
      <c r="E19" s="1">
        <v>73.349999999999994</v>
      </c>
      <c r="F19" s="79">
        <v>45471</v>
      </c>
      <c r="G19" s="3"/>
      <c r="K19" s="63">
        <f>K21*H23</f>
        <v>-78080.903104421624</v>
      </c>
    </row>
    <row r="21" spans="2:11">
      <c r="E21" s="1"/>
      <c r="J21">
        <v>105.47</v>
      </c>
      <c r="K21" s="5">
        <f>J21/J22-1</f>
        <v>-7.8080903104421617E-3</v>
      </c>
    </row>
    <row r="22" spans="2:11">
      <c r="I22">
        <f>I23*20</f>
        <v>83794.2</v>
      </c>
      <c r="J22">
        <v>106.3</v>
      </c>
    </row>
    <row r="23" spans="2:11">
      <c r="B23" t="s">
        <v>247</v>
      </c>
      <c r="C23" t="s">
        <v>421</v>
      </c>
      <c r="D23" s="3">
        <v>25000000</v>
      </c>
      <c r="E23" s="1">
        <f>((D10*E10)+(D12*E12))/D23</f>
        <v>64.56</v>
      </c>
      <c r="H23" s="3">
        <v>10000000</v>
      </c>
      <c r="I23">
        <v>4189.71</v>
      </c>
    </row>
    <row r="25" spans="2:11">
      <c r="H25">
        <v>106.3</v>
      </c>
    </row>
    <row r="26" spans="2:11">
      <c r="B26" t="s">
        <v>423</v>
      </c>
      <c r="C26" t="s">
        <v>424</v>
      </c>
      <c r="D26" t="s">
        <v>425</v>
      </c>
    </row>
    <row r="27" spans="2:11">
      <c r="B27">
        <v>1</v>
      </c>
      <c r="C27" s="1">
        <v>4639.37</v>
      </c>
      <c r="D27" s="3">
        <v>10000000</v>
      </c>
    </row>
    <row r="29" spans="2:11">
      <c r="B29">
        <v>14</v>
      </c>
      <c r="C29" s="3">
        <f>0.01%*11500000000/5.3</f>
        <v>216981.13207547172</v>
      </c>
    </row>
    <row r="30" spans="2:11">
      <c r="I30">
        <f>418*20</f>
        <v>8360</v>
      </c>
      <c r="J30" s="3">
        <v>1000000</v>
      </c>
    </row>
    <row r="31" spans="2:11">
      <c r="B31">
        <v>1</v>
      </c>
      <c r="C31" s="3">
        <f>B31/B29*C29</f>
        <v>15498.652291105122</v>
      </c>
      <c r="D31" s="17">
        <f>C31/C27*D27</f>
        <v>33406803.706333235</v>
      </c>
      <c r="I31" s="3">
        <f>0.01%*12500000000/5.5</f>
        <v>227272.72727272726</v>
      </c>
    </row>
    <row r="32" spans="2:11">
      <c r="I32" s="17">
        <f>I31/I30</f>
        <v>27.185732927359719</v>
      </c>
    </row>
    <row r="33" spans="2:9">
      <c r="B33" t="s">
        <v>423</v>
      </c>
      <c r="C33" t="s">
        <v>424</v>
      </c>
      <c r="D33" t="s">
        <v>425</v>
      </c>
    </row>
    <row r="34" spans="2:9">
      <c r="B34">
        <v>1</v>
      </c>
      <c r="C34" s="1">
        <v>4206.29</v>
      </c>
      <c r="D34" s="3">
        <v>10000000</v>
      </c>
    </row>
    <row r="36" spans="2:9">
      <c r="B36">
        <v>10</v>
      </c>
      <c r="C36" s="3">
        <f>0.01%*10000000000/5.3</f>
        <v>188679.24528301888</v>
      </c>
      <c r="F36" s="63"/>
      <c r="H36" s="63"/>
    </row>
    <row r="37" spans="2:9">
      <c r="F37" s="63"/>
      <c r="H37" s="63"/>
    </row>
    <row r="38" spans="2:9">
      <c r="B38">
        <v>1</v>
      </c>
      <c r="C38" s="3">
        <f>B38/B36*C36</f>
        <v>18867.92452830189</v>
      </c>
      <c r="D38" s="17">
        <f>C38/C34*D34</f>
        <v>44856451.952437632</v>
      </c>
      <c r="F38" s="63"/>
      <c r="H38" s="63"/>
      <c r="I38" s="78"/>
    </row>
    <row r="40" spans="2:9">
      <c r="B40" s="58" t="s">
        <v>423</v>
      </c>
      <c r="C40" s="58" t="s">
        <v>424</v>
      </c>
      <c r="D40" s="58" t="s">
        <v>425</v>
      </c>
      <c r="E40" s="58" t="s">
        <v>2355</v>
      </c>
    </row>
    <row r="41" spans="2:9">
      <c r="B41" s="58">
        <v>1</v>
      </c>
      <c r="C41" s="14">
        <v>4510</v>
      </c>
      <c r="D41" s="8">
        <v>10000000</v>
      </c>
      <c r="E41" s="270">
        <v>0.25</v>
      </c>
      <c r="F41" s="31">
        <f>E41/10000</f>
        <v>2.5000000000000001E-5</v>
      </c>
    </row>
    <row r="42" spans="2:9">
      <c r="B42" s="58"/>
      <c r="C42" s="58"/>
      <c r="D42" s="58"/>
      <c r="F42" s="63"/>
    </row>
    <row r="43" spans="2:9">
      <c r="B43" s="58">
        <v>10</v>
      </c>
      <c r="C43" s="8">
        <f>E41*2400000000/10000</f>
        <v>60000</v>
      </c>
      <c r="D43" s="58"/>
      <c r="F43" s="63"/>
      <c r="G43" s="78"/>
    </row>
    <row r="44" spans="2:9">
      <c r="B44" s="58"/>
      <c r="C44" s="58"/>
      <c r="D44" s="58"/>
    </row>
    <row r="45" spans="2:9">
      <c r="B45" s="58">
        <v>1</v>
      </c>
      <c r="C45" s="8">
        <f>B45/B43*C43</f>
        <v>6000</v>
      </c>
      <c r="D45" s="437">
        <f>C45/C41*D41</f>
        <v>13303769.401330376</v>
      </c>
    </row>
    <row r="50" spans="1:10">
      <c r="I50" s="92" cm="1">
        <f t="array" ref="I50">_xll.BDP("cny Curncy","LAST_PRICE")</f>
        <v>6.9385000000000003</v>
      </c>
    </row>
    <row r="51" spans="1:10">
      <c r="F51" s="79" t="s">
        <v>2345</v>
      </c>
      <c r="G51" s="79" t="s">
        <v>2346</v>
      </c>
      <c r="H51" s="79" t="str">
        <f>F51</f>
        <v>YEST</v>
      </c>
      <c r="I51" s="79" t="str">
        <f>G51</f>
        <v>TODAY</v>
      </c>
      <c r="J51" t="s">
        <v>2319</v>
      </c>
    </row>
    <row r="52" spans="1:10">
      <c r="A52" s="427" t="s">
        <v>1930</v>
      </c>
      <c r="B52" s="428">
        <v>46101</v>
      </c>
      <c r="C52" s="427">
        <v>276451</v>
      </c>
      <c r="D52" s="427" t="s">
        <v>1932</v>
      </c>
      <c r="E52" s="427" t="s">
        <v>2146</v>
      </c>
      <c r="F52" s="435">
        <f>Precificação!N2</f>
        <v>6.73</v>
      </c>
      <c r="G52" s="270">
        <v>10.45</v>
      </c>
      <c r="H52" s="261">
        <f>$C52*F52/$I$50</f>
        <v>268143.72414787061</v>
      </c>
      <c r="I52" s="261">
        <f>$C52*G52/$I$50</f>
        <v>416359.8688477336</v>
      </c>
      <c r="J52" s="261">
        <f>I52-H52</f>
        <v>148216.14469986298</v>
      </c>
    </row>
    <row r="53" spans="1:10">
      <c r="A53" s="427" t="s">
        <v>1930</v>
      </c>
      <c r="B53" s="428">
        <v>46101</v>
      </c>
      <c r="C53" s="427">
        <v>276451</v>
      </c>
      <c r="D53" s="427" t="s">
        <v>1932</v>
      </c>
      <c r="E53" s="427" t="s">
        <v>2147</v>
      </c>
      <c r="F53" s="435">
        <f>Precificação!N3</f>
        <v>1.36</v>
      </c>
      <c r="G53" s="270">
        <v>2.35</v>
      </c>
      <c r="H53" s="261">
        <f>$C53*F53/$I$50</f>
        <v>54186.547524681133</v>
      </c>
      <c r="I53" s="261">
        <f>$C53*G53/$I$50</f>
        <v>93631.166678676935</v>
      </c>
      <c r="J53" s="261">
        <f>I53-H53</f>
        <v>39444.619153995802</v>
      </c>
    </row>
    <row r="54" spans="1:10">
      <c r="E54" s="270">
        <f>E53-E52</f>
        <v>15</v>
      </c>
      <c r="F54" s="270">
        <f>F52-F53</f>
        <v>5.37</v>
      </c>
      <c r="G54" s="270">
        <f>G52-G53</f>
        <v>8.1</v>
      </c>
      <c r="H54" s="402">
        <f>H52-H53</f>
        <v>213957.17662318947</v>
      </c>
      <c r="I54" s="402">
        <f>I52-I53</f>
        <v>322728.70216905663</v>
      </c>
      <c r="J54" s="402">
        <f>J52-J53</f>
        <v>108771.52554586719</v>
      </c>
    </row>
    <row r="55" spans="1:10">
      <c r="I55" t="s">
        <v>2320</v>
      </c>
      <c r="J55" s="270">
        <f>J54/'Master P&amp;L'!AD7*10000</f>
        <v>0.4539402175064014</v>
      </c>
    </row>
    <row r="58" spans="1:10">
      <c r="B58" s="5"/>
      <c r="D58" s="5"/>
    </row>
    <row r="61" spans="1:10">
      <c r="B61" t="s">
        <v>2356</v>
      </c>
    </row>
    <row r="62" spans="1:10">
      <c r="C62" t="s">
        <v>209</v>
      </c>
      <c r="D62" t="s">
        <v>210</v>
      </c>
    </row>
    <row r="63" spans="1:10">
      <c r="B63" t="s">
        <v>2358</v>
      </c>
      <c r="C63">
        <v>99.21</v>
      </c>
      <c r="D63">
        <v>99.06</v>
      </c>
    </row>
    <row r="64" spans="1:10">
      <c r="B64" t="s">
        <v>2360</v>
      </c>
      <c r="C64" s="42">
        <v>0.05</v>
      </c>
      <c r="D64" s="42">
        <v>4.9799999999999997E-2</v>
      </c>
    </row>
    <row r="65" spans="2:6">
      <c r="B65" t="s">
        <v>2359</v>
      </c>
      <c r="C65" s="42">
        <v>4.2299999999999997E-2</v>
      </c>
      <c r="D65" s="42">
        <v>4.2299999999999997E-2</v>
      </c>
    </row>
    <row r="66" spans="2:6">
      <c r="B66" t="s">
        <v>2357</v>
      </c>
      <c r="C66">
        <v>77</v>
      </c>
      <c r="D66">
        <v>75</v>
      </c>
    </row>
    <row r="67" spans="2:6">
      <c r="B67" t="s">
        <v>2366</v>
      </c>
      <c r="C67" s="261">
        <f>(C66/10000)*C70</f>
        <v>77000</v>
      </c>
      <c r="F67" s="270">
        <f>C67/'Master P&amp;L'!$AD$7*10000</f>
        <v>0.32134693866414177</v>
      </c>
    </row>
    <row r="69" spans="2:6">
      <c r="B69" t="s">
        <v>2361</v>
      </c>
    </row>
    <row r="70" spans="2:6">
      <c r="B70" t="s">
        <v>425</v>
      </c>
      <c r="C70" s="261">
        <v>10000000</v>
      </c>
    </row>
    <row r="71" spans="2:6">
      <c r="B71" t="s">
        <v>424</v>
      </c>
      <c r="C71" s="261">
        <v>7630</v>
      </c>
      <c r="F71" t="s">
        <v>2320</v>
      </c>
    </row>
    <row r="72" spans="2:6">
      <c r="B72" t="s">
        <v>2357</v>
      </c>
      <c r="C72" s="261">
        <f>(D72-$C$66)*$C$71</f>
        <v>-53410</v>
      </c>
      <c r="D72">
        <v>70</v>
      </c>
      <c r="E72" t="s">
        <v>2364</v>
      </c>
      <c r="F72" s="270">
        <f>C72/'Master P&amp;L'!$AD$7*10000</f>
        <v>-0.22289792200067285</v>
      </c>
    </row>
    <row r="73" spans="2:6">
      <c r="B73" t="s">
        <v>2357</v>
      </c>
      <c r="C73" s="261">
        <f>(D73-$C$66)*$C$71</f>
        <v>61040</v>
      </c>
      <c r="D73">
        <v>85</v>
      </c>
      <c r="E73" t="s">
        <v>2365</v>
      </c>
      <c r="F73" s="270">
        <f>C73/'Master P&amp;L'!$AD$7*10000</f>
        <v>0.25474048228648327</v>
      </c>
    </row>
    <row r="76" spans="2:6">
      <c r="B76" t="s">
        <v>2362</v>
      </c>
    </row>
    <row r="77" spans="2:6">
      <c r="B77" t="s">
        <v>2363</v>
      </c>
    </row>
  </sheetData>
  <conditionalFormatting sqref="F52:F53">
    <cfRule type="cellIs" dxfId="43" priority="1" operator="equal">
      <formula>0</formula>
    </cfRule>
  </conditionalFormatting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28C62-EDF1-407F-8222-CB6F85E676AD}">
  <sheetPr codeName="Sheet18" filterMode="1"/>
  <dimension ref="A1:G2563"/>
  <sheetViews>
    <sheetView workbookViewId="0">
      <selection activeCell="N61" sqref="N61"/>
    </sheetView>
  </sheetViews>
  <sheetFormatPr defaultRowHeight="15"/>
  <cols>
    <col min="1" max="1" width="42.7109375" bestFit="1" customWidth="1"/>
    <col min="2" max="3" width="20.42578125" bestFit="1" customWidth="1"/>
    <col min="4" max="4" width="19.42578125" bestFit="1" customWidth="1"/>
    <col min="5" max="5" width="33.42578125" bestFit="1" customWidth="1"/>
    <col min="6" max="6" width="19.7109375" bestFit="1" customWidth="1"/>
    <col min="7" max="7" width="12.140625" bestFit="1" customWidth="1"/>
  </cols>
  <sheetData>
    <row r="1" spans="1:7">
      <c r="A1" s="193" t="s">
        <v>426</v>
      </c>
      <c r="B1" s="193" t="s">
        <v>427</v>
      </c>
      <c r="C1" s="193" t="s">
        <v>428</v>
      </c>
      <c r="D1" s="193" t="s">
        <v>429</v>
      </c>
      <c r="E1" s="193" t="s">
        <v>430</v>
      </c>
      <c r="F1" s="193" t="s">
        <v>431</v>
      </c>
      <c r="G1" s="193" t="s">
        <v>432</v>
      </c>
    </row>
    <row r="2" spans="1:7" hidden="1">
      <c r="A2" s="194" t="s">
        <v>433</v>
      </c>
      <c r="B2" s="195">
        <v>3</v>
      </c>
      <c r="C2" s="195">
        <v>0</v>
      </c>
      <c r="D2" s="196" t="s">
        <v>283</v>
      </c>
      <c r="E2" s="196" t="s">
        <v>315</v>
      </c>
      <c r="F2" s="195" t="s">
        <v>394</v>
      </c>
      <c r="G2" s="195" t="s">
        <v>434</v>
      </c>
    </row>
    <row r="3" spans="1:7">
      <c r="A3" s="194" t="s">
        <v>433</v>
      </c>
      <c r="B3" s="195">
        <v>-3</v>
      </c>
      <c r="C3" s="195">
        <v>0</v>
      </c>
      <c r="D3" s="196" t="s">
        <v>282</v>
      </c>
      <c r="E3" s="196" t="s">
        <v>315</v>
      </c>
      <c r="F3" s="195" t="s">
        <v>394</v>
      </c>
      <c r="G3" s="195" t="s">
        <v>434</v>
      </c>
    </row>
    <row r="4" spans="1:7" hidden="1">
      <c r="A4" s="194" t="s">
        <v>435</v>
      </c>
      <c r="B4" s="195">
        <v>1</v>
      </c>
      <c r="C4" s="195">
        <v>0</v>
      </c>
      <c r="D4" s="196" t="s">
        <v>283</v>
      </c>
      <c r="E4" s="196" t="s">
        <v>315</v>
      </c>
      <c r="F4" s="195" t="s">
        <v>394</v>
      </c>
      <c r="G4" s="195" t="s">
        <v>434</v>
      </c>
    </row>
    <row r="5" spans="1:7">
      <c r="A5" s="194" t="s">
        <v>435</v>
      </c>
      <c r="B5" s="195">
        <v>-1</v>
      </c>
      <c r="C5" s="195">
        <v>0</v>
      </c>
      <c r="D5" s="196" t="s">
        <v>282</v>
      </c>
      <c r="E5" s="196" t="s">
        <v>315</v>
      </c>
      <c r="F5" s="195" t="s">
        <v>394</v>
      </c>
      <c r="G5" s="195" t="s">
        <v>434</v>
      </c>
    </row>
    <row r="6" spans="1:7" hidden="1">
      <c r="A6" s="194" t="s">
        <v>436</v>
      </c>
      <c r="B6" s="195">
        <v>-75</v>
      </c>
      <c r="C6" s="195">
        <v>0</v>
      </c>
      <c r="D6" s="196" t="s">
        <v>437</v>
      </c>
      <c r="E6" s="196" t="s">
        <v>315</v>
      </c>
      <c r="F6" s="195" t="s">
        <v>394</v>
      </c>
      <c r="G6" s="195" t="s">
        <v>434</v>
      </c>
    </row>
    <row r="7" spans="1:7" hidden="1">
      <c r="A7" s="194" t="s">
        <v>436</v>
      </c>
      <c r="B7" s="195">
        <v>75</v>
      </c>
      <c r="C7" s="195">
        <v>0</v>
      </c>
      <c r="D7" s="196" t="s">
        <v>437</v>
      </c>
      <c r="E7" s="196" t="s">
        <v>315</v>
      </c>
      <c r="F7" s="195" t="s">
        <v>396</v>
      </c>
      <c r="G7" s="195" t="s">
        <v>434</v>
      </c>
    </row>
    <row r="8" spans="1:7" hidden="1">
      <c r="A8" s="194" t="s">
        <v>438</v>
      </c>
      <c r="B8" s="195">
        <v>2246</v>
      </c>
      <c r="C8" s="195">
        <v>0</v>
      </c>
      <c r="D8" s="196" t="s">
        <v>283</v>
      </c>
      <c r="E8" s="196" t="s">
        <v>439</v>
      </c>
      <c r="F8" s="195" t="s">
        <v>394</v>
      </c>
      <c r="G8" s="195" t="s">
        <v>434</v>
      </c>
    </row>
    <row r="9" spans="1:7">
      <c r="A9" s="194" t="s">
        <v>438</v>
      </c>
      <c r="B9" s="195">
        <v>-2246</v>
      </c>
      <c r="C9" s="195">
        <v>0</v>
      </c>
      <c r="D9" s="196" t="s">
        <v>282</v>
      </c>
      <c r="E9" s="196" t="s">
        <v>439</v>
      </c>
      <c r="F9" s="195" t="s">
        <v>394</v>
      </c>
      <c r="G9" s="195" t="s">
        <v>434</v>
      </c>
    </row>
    <row r="10" spans="1:7">
      <c r="A10" s="194" t="s">
        <v>438</v>
      </c>
      <c r="B10" s="195">
        <v>4492</v>
      </c>
      <c r="C10" s="195">
        <v>0</v>
      </c>
      <c r="D10" s="196" t="s">
        <v>282</v>
      </c>
      <c r="E10" s="196" t="s">
        <v>439</v>
      </c>
      <c r="F10" s="195" t="s">
        <v>393</v>
      </c>
      <c r="G10" s="195" t="s">
        <v>434</v>
      </c>
    </row>
    <row r="11" spans="1:7" hidden="1">
      <c r="A11" s="194" t="s">
        <v>79</v>
      </c>
      <c r="B11" s="195">
        <v>-12900</v>
      </c>
      <c r="C11" s="195">
        <v>0</v>
      </c>
      <c r="D11" s="196" t="s">
        <v>440</v>
      </c>
      <c r="E11" s="196" t="s">
        <v>317</v>
      </c>
      <c r="F11" s="195" t="s">
        <v>394</v>
      </c>
      <c r="G11" s="195" t="s">
        <v>434</v>
      </c>
    </row>
    <row r="12" spans="1:7" hidden="1">
      <c r="A12" s="194" t="s">
        <v>79</v>
      </c>
      <c r="B12" s="195">
        <v>12900</v>
      </c>
      <c r="C12" s="195">
        <v>0</v>
      </c>
      <c r="D12" s="196" t="s">
        <v>440</v>
      </c>
      <c r="E12" s="196" t="s">
        <v>317</v>
      </c>
      <c r="F12" s="195" t="s">
        <v>441</v>
      </c>
      <c r="G12" s="195" t="s">
        <v>434</v>
      </c>
    </row>
    <row r="13" spans="1:7" hidden="1">
      <c r="A13" s="194" t="s">
        <v>79</v>
      </c>
      <c r="B13" s="195">
        <v>-140410</v>
      </c>
      <c r="C13" s="195">
        <v>0</v>
      </c>
      <c r="D13" s="196" t="s">
        <v>437</v>
      </c>
      <c r="E13" s="196" t="s">
        <v>317</v>
      </c>
      <c r="F13" s="195" t="s">
        <v>394</v>
      </c>
      <c r="G13" s="195" t="s">
        <v>434</v>
      </c>
    </row>
    <row r="14" spans="1:7" hidden="1">
      <c r="A14" s="194" t="s">
        <v>79</v>
      </c>
      <c r="B14" s="195">
        <v>140410</v>
      </c>
      <c r="C14" s="195">
        <v>0</v>
      </c>
      <c r="D14" s="196" t="s">
        <v>437</v>
      </c>
      <c r="E14" s="196" t="s">
        <v>317</v>
      </c>
      <c r="F14" s="195" t="s">
        <v>441</v>
      </c>
      <c r="G14" s="195" t="s">
        <v>434</v>
      </c>
    </row>
    <row r="15" spans="1:7">
      <c r="A15" s="194" t="s">
        <v>79</v>
      </c>
      <c r="B15" s="195">
        <v>152364</v>
      </c>
      <c r="C15" s="195">
        <v>0</v>
      </c>
      <c r="D15" s="196" t="s">
        <v>282</v>
      </c>
      <c r="E15" s="196" t="s">
        <v>317</v>
      </c>
      <c r="F15" s="195" t="s">
        <v>394</v>
      </c>
      <c r="G15" s="195" t="s">
        <v>434</v>
      </c>
    </row>
    <row r="16" spans="1:7">
      <c r="A16" s="194" t="s">
        <v>79</v>
      </c>
      <c r="B16" s="195">
        <v>-1369</v>
      </c>
      <c r="C16" s="195">
        <v>0</v>
      </c>
      <c r="D16" s="196" t="s">
        <v>282</v>
      </c>
      <c r="E16" s="196" t="s">
        <v>317</v>
      </c>
      <c r="F16" s="195" t="s">
        <v>393</v>
      </c>
      <c r="G16" s="195" t="s">
        <v>434</v>
      </c>
    </row>
    <row r="17" spans="1:7">
      <c r="A17" s="194" t="s">
        <v>79</v>
      </c>
      <c r="B17" s="195">
        <v>463</v>
      </c>
      <c r="C17" s="195">
        <v>0</v>
      </c>
      <c r="D17" s="196" t="s">
        <v>282</v>
      </c>
      <c r="E17" s="196" t="s">
        <v>317</v>
      </c>
      <c r="F17" s="195" t="s">
        <v>413</v>
      </c>
      <c r="G17" s="195" t="s">
        <v>434</v>
      </c>
    </row>
    <row r="18" spans="1:7">
      <c r="A18" s="194" t="s">
        <v>79</v>
      </c>
      <c r="B18" s="195">
        <v>926</v>
      </c>
      <c r="C18" s="195">
        <v>0</v>
      </c>
      <c r="D18" s="196" t="s">
        <v>282</v>
      </c>
      <c r="E18" s="196" t="s">
        <v>317</v>
      </c>
      <c r="F18" s="195" t="s">
        <v>403</v>
      </c>
      <c r="G18" s="195" t="s">
        <v>434</v>
      </c>
    </row>
    <row r="19" spans="1:7">
      <c r="A19" s="194" t="s">
        <v>79</v>
      </c>
      <c r="B19" s="195">
        <v>-153310</v>
      </c>
      <c r="C19" s="195">
        <v>0</v>
      </c>
      <c r="D19" s="196" t="s">
        <v>282</v>
      </c>
      <c r="E19" s="196" t="s">
        <v>317</v>
      </c>
      <c r="F19" s="195" t="s">
        <v>441</v>
      </c>
      <c r="G19" s="195" t="s">
        <v>434</v>
      </c>
    </row>
    <row r="20" spans="1:7">
      <c r="A20" s="194" t="s">
        <v>79</v>
      </c>
      <c r="B20" s="195">
        <v>926</v>
      </c>
      <c r="C20" s="195">
        <v>0</v>
      </c>
      <c r="D20" s="196" t="s">
        <v>282</v>
      </c>
      <c r="E20" s="196" t="s">
        <v>317</v>
      </c>
      <c r="F20" s="195" t="s">
        <v>411</v>
      </c>
      <c r="G20" s="195" t="s">
        <v>434</v>
      </c>
    </row>
    <row r="21" spans="1:7" hidden="1">
      <c r="A21" s="194" t="s">
        <v>79</v>
      </c>
      <c r="B21" s="195">
        <v>-816</v>
      </c>
      <c r="C21" s="195">
        <v>0</v>
      </c>
      <c r="D21" s="196" t="s">
        <v>442</v>
      </c>
      <c r="E21" s="196" t="s">
        <v>317</v>
      </c>
      <c r="F21" s="195" t="s">
        <v>394</v>
      </c>
      <c r="G21" s="195" t="s">
        <v>434</v>
      </c>
    </row>
    <row r="22" spans="1:7" hidden="1">
      <c r="A22" s="194" t="s">
        <v>443</v>
      </c>
      <c r="B22" s="195">
        <v>3969950</v>
      </c>
      <c r="C22" s="195">
        <v>0</v>
      </c>
      <c r="D22" s="196" t="s">
        <v>440</v>
      </c>
      <c r="E22" s="196" t="s">
        <v>39</v>
      </c>
      <c r="F22" s="195" t="s">
        <v>394</v>
      </c>
      <c r="G22" s="195" t="s">
        <v>434</v>
      </c>
    </row>
    <row r="23" spans="1:7">
      <c r="A23" s="194" t="s">
        <v>444</v>
      </c>
      <c r="B23" s="195">
        <v>20375</v>
      </c>
      <c r="C23" s="195">
        <v>0</v>
      </c>
      <c r="D23" s="196" t="s">
        <v>282</v>
      </c>
      <c r="E23" s="196" t="s">
        <v>317</v>
      </c>
      <c r="F23" s="195" t="s">
        <v>394</v>
      </c>
      <c r="G23" s="195" t="s">
        <v>434</v>
      </c>
    </row>
    <row r="24" spans="1:7">
      <c r="A24" s="194" t="s">
        <v>444</v>
      </c>
      <c r="B24" s="195">
        <v>9446</v>
      </c>
      <c r="C24" s="195">
        <v>0</v>
      </c>
      <c r="D24" s="196" t="s">
        <v>282</v>
      </c>
      <c r="E24" s="196" t="s">
        <v>317</v>
      </c>
      <c r="F24" s="195" t="s">
        <v>445</v>
      </c>
      <c r="G24" s="195" t="s">
        <v>434</v>
      </c>
    </row>
    <row r="25" spans="1:7">
      <c r="A25" s="194" t="s">
        <v>444</v>
      </c>
      <c r="B25" s="195">
        <v>-29821</v>
      </c>
      <c r="C25" s="195">
        <v>0</v>
      </c>
      <c r="D25" s="196" t="s">
        <v>282</v>
      </c>
      <c r="E25" s="196" t="s">
        <v>317</v>
      </c>
      <c r="F25" s="195" t="s">
        <v>393</v>
      </c>
      <c r="G25" s="195" t="s">
        <v>434</v>
      </c>
    </row>
    <row r="26" spans="1:7">
      <c r="A26" s="194" t="s">
        <v>446</v>
      </c>
      <c r="B26" s="195">
        <v>-141540</v>
      </c>
      <c r="C26" s="195">
        <v>0</v>
      </c>
      <c r="D26" s="196" t="s">
        <v>282</v>
      </c>
      <c r="E26" s="196" t="s">
        <v>447</v>
      </c>
      <c r="F26" s="195" t="s">
        <v>394</v>
      </c>
      <c r="G26" s="195" t="s">
        <v>434</v>
      </c>
    </row>
    <row r="27" spans="1:7">
      <c r="A27" s="194" t="s">
        <v>446</v>
      </c>
      <c r="B27" s="195">
        <v>141540</v>
      </c>
      <c r="C27" s="195">
        <v>0</v>
      </c>
      <c r="D27" s="196" t="s">
        <v>282</v>
      </c>
      <c r="E27" s="196" t="s">
        <v>447</v>
      </c>
      <c r="F27" s="195" t="s">
        <v>397</v>
      </c>
      <c r="G27" s="195" t="s">
        <v>434</v>
      </c>
    </row>
    <row r="28" spans="1:7">
      <c r="A28" s="194" t="s">
        <v>448</v>
      </c>
      <c r="B28" s="195">
        <v>2454</v>
      </c>
      <c r="C28" s="195">
        <v>0</v>
      </c>
      <c r="D28" s="196" t="s">
        <v>282</v>
      </c>
      <c r="E28" s="196" t="s">
        <v>317</v>
      </c>
      <c r="F28" s="195" t="s">
        <v>394</v>
      </c>
      <c r="G28" s="195" t="s">
        <v>434</v>
      </c>
    </row>
    <row r="29" spans="1:7">
      <c r="A29" s="194" t="s">
        <v>448</v>
      </c>
      <c r="B29" s="195">
        <v>-2454</v>
      </c>
      <c r="C29" s="195">
        <v>0</v>
      </c>
      <c r="D29" s="196" t="s">
        <v>282</v>
      </c>
      <c r="E29" s="196" t="s">
        <v>317</v>
      </c>
      <c r="F29" s="195" t="s">
        <v>449</v>
      </c>
      <c r="G29" s="195" t="s">
        <v>434</v>
      </c>
    </row>
    <row r="30" spans="1:7" hidden="1">
      <c r="A30" s="194" t="s">
        <v>399</v>
      </c>
      <c r="B30" s="195">
        <v>32740</v>
      </c>
      <c r="C30" s="195">
        <v>0</v>
      </c>
      <c r="D30" s="196" t="s">
        <v>437</v>
      </c>
      <c r="E30" s="196" t="s">
        <v>317</v>
      </c>
      <c r="F30" s="195" t="s">
        <v>394</v>
      </c>
      <c r="G30" s="195" t="s">
        <v>434</v>
      </c>
    </row>
    <row r="31" spans="1:7" hidden="1">
      <c r="A31" s="194" t="s">
        <v>399</v>
      </c>
      <c r="B31" s="195">
        <v>-32740</v>
      </c>
      <c r="C31" s="195">
        <v>0</v>
      </c>
      <c r="D31" s="196" t="s">
        <v>437</v>
      </c>
      <c r="E31" s="196" t="s">
        <v>317</v>
      </c>
      <c r="F31" s="195" t="s">
        <v>441</v>
      </c>
      <c r="G31" s="195" t="s">
        <v>434</v>
      </c>
    </row>
    <row r="32" spans="1:7">
      <c r="A32" s="194" t="s">
        <v>399</v>
      </c>
      <c r="B32" s="195">
        <v>-1700</v>
      </c>
      <c r="C32" s="195">
        <v>0</v>
      </c>
      <c r="D32" s="196" t="s">
        <v>282</v>
      </c>
      <c r="E32" s="196" t="s">
        <v>317</v>
      </c>
      <c r="F32" s="195" t="s">
        <v>412</v>
      </c>
      <c r="G32" s="195" t="s">
        <v>434</v>
      </c>
    </row>
    <row r="33" spans="1:7">
      <c r="A33" s="194" t="s">
        <v>399</v>
      </c>
      <c r="B33" s="195">
        <v>-20659</v>
      </c>
      <c r="C33" s="195">
        <v>0</v>
      </c>
      <c r="D33" s="196" t="s">
        <v>282</v>
      </c>
      <c r="E33" s="196" t="s">
        <v>317</v>
      </c>
      <c r="F33" s="195" t="s">
        <v>394</v>
      </c>
      <c r="G33" s="195" t="s">
        <v>434</v>
      </c>
    </row>
    <row r="34" spans="1:7">
      <c r="A34" s="194" t="s">
        <v>399</v>
      </c>
      <c r="B34" s="195">
        <v>-6492</v>
      </c>
      <c r="C34" s="195">
        <v>0</v>
      </c>
      <c r="D34" s="196" t="s">
        <v>282</v>
      </c>
      <c r="E34" s="196" t="s">
        <v>317</v>
      </c>
      <c r="F34" s="195" t="s">
        <v>408</v>
      </c>
      <c r="G34" s="195" t="s">
        <v>434</v>
      </c>
    </row>
    <row r="35" spans="1:7">
      <c r="A35" s="194" t="s">
        <v>399</v>
      </c>
      <c r="B35" s="195">
        <v>-8521</v>
      </c>
      <c r="C35" s="195">
        <v>0</v>
      </c>
      <c r="D35" s="196" t="s">
        <v>282</v>
      </c>
      <c r="E35" s="196" t="s">
        <v>317</v>
      </c>
      <c r="F35" s="195" t="s">
        <v>393</v>
      </c>
      <c r="G35" s="195" t="s">
        <v>434</v>
      </c>
    </row>
    <row r="36" spans="1:7">
      <c r="A36" s="194" t="s">
        <v>399</v>
      </c>
      <c r="B36" s="195">
        <v>4632</v>
      </c>
      <c r="C36" s="195">
        <v>0</v>
      </c>
      <c r="D36" s="196" t="s">
        <v>282</v>
      </c>
      <c r="E36" s="196" t="s">
        <v>317</v>
      </c>
      <c r="F36" s="195" t="s">
        <v>413</v>
      </c>
      <c r="G36" s="195" t="s">
        <v>434</v>
      </c>
    </row>
    <row r="37" spans="1:7">
      <c r="A37" s="194" t="s">
        <v>399</v>
      </c>
      <c r="B37" s="195">
        <v>32740</v>
      </c>
      <c r="C37" s="195">
        <v>0</v>
      </c>
      <c r="D37" s="196" t="s">
        <v>282</v>
      </c>
      <c r="E37" s="196" t="s">
        <v>317</v>
      </c>
      <c r="F37" s="195" t="s">
        <v>441</v>
      </c>
      <c r="G37" s="195" t="s">
        <v>434</v>
      </c>
    </row>
    <row r="38" spans="1:7" hidden="1">
      <c r="A38" s="194" t="s">
        <v>399</v>
      </c>
      <c r="B38" s="195">
        <v>1933</v>
      </c>
      <c r="C38" s="195">
        <v>0</v>
      </c>
      <c r="D38" s="196" t="s">
        <v>442</v>
      </c>
      <c r="E38" s="196" t="s">
        <v>317</v>
      </c>
      <c r="F38" s="195" t="s">
        <v>394</v>
      </c>
      <c r="G38" s="195" t="s">
        <v>434</v>
      </c>
    </row>
    <row r="39" spans="1:7">
      <c r="A39" s="194" t="s">
        <v>450</v>
      </c>
      <c r="B39" s="195">
        <v>324</v>
      </c>
      <c r="C39" s="195">
        <v>0</v>
      </c>
      <c r="D39" s="196" t="s">
        <v>282</v>
      </c>
      <c r="E39" s="196" t="s">
        <v>319</v>
      </c>
      <c r="F39" s="195" t="s">
        <v>408</v>
      </c>
      <c r="G39" s="195" t="s">
        <v>434</v>
      </c>
    </row>
    <row r="40" spans="1:7">
      <c r="A40" s="194" t="s">
        <v>450</v>
      </c>
      <c r="B40" s="195">
        <v>-324</v>
      </c>
      <c r="C40" s="195">
        <v>0</v>
      </c>
      <c r="D40" s="196" t="s">
        <v>282</v>
      </c>
      <c r="E40" s="196" t="s">
        <v>319</v>
      </c>
      <c r="F40" s="195" t="s">
        <v>393</v>
      </c>
      <c r="G40" s="195" t="s">
        <v>434</v>
      </c>
    </row>
    <row r="41" spans="1:7">
      <c r="A41" s="194" t="s">
        <v>451</v>
      </c>
      <c r="B41" s="195">
        <v>-324</v>
      </c>
      <c r="C41" s="195">
        <v>0</v>
      </c>
      <c r="D41" s="196" t="s">
        <v>282</v>
      </c>
      <c r="E41" s="196" t="s">
        <v>319</v>
      </c>
      <c r="F41" s="195" t="s">
        <v>408</v>
      </c>
      <c r="G41" s="195" t="s">
        <v>434</v>
      </c>
    </row>
    <row r="42" spans="1:7">
      <c r="A42" s="194" t="s">
        <v>451</v>
      </c>
      <c r="B42" s="195">
        <v>324</v>
      </c>
      <c r="C42" s="195">
        <v>0</v>
      </c>
      <c r="D42" s="196" t="s">
        <v>282</v>
      </c>
      <c r="E42" s="196" t="s">
        <v>319</v>
      </c>
      <c r="F42" s="195" t="s">
        <v>393</v>
      </c>
      <c r="G42" s="195" t="s">
        <v>434</v>
      </c>
    </row>
    <row r="43" spans="1:7" hidden="1">
      <c r="A43" s="194" t="s">
        <v>452</v>
      </c>
      <c r="B43" s="195">
        <v>1.9994331523776054E-8</v>
      </c>
      <c r="C43" s="195">
        <v>0</v>
      </c>
      <c r="D43" s="196" t="s">
        <v>440</v>
      </c>
      <c r="E43" s="196" t="s">
        <v>317</v>
      </c>
      <c r="F43" s="195" t="s">
        <v>394</v>
      </c>
      <c r="G43" s="195" t="s">
        <v>434</v>
      </c>
    </row>
    <row r="44" spans="1:7" hidden="1">
      <c r="A44" s="194" t="s">
        <v>452</v>
      </c>
      <c r="B44" s="195">
        <v>32400</v>
      </c>
      <c r="C44" s="195">
        <v>0</v>
      </c>
      <c r="D44" s="196" t="s">
        <v>442</v>
      </c>
      <c r="E44" s="196" t="s">
        <v>317</v>
      </c>
      <c r="F44" s="195" t="s">
        <v>394</v>
      </c>
      <c r="G44" s="195" t="s">
        <v>434</v>
      </c>
    </row>
    <row r="45" spans="1:7" hidden="1">
      <c r="A45" s="194" t="s">
        <v>38</v>
      </c>
      <c r="B45" s="195">
        <v>4637</v>
      </c>
      <c r="C45" s="195">
        <v>0</v>
      </c>
      <c r="D45" s="196" t="s">
        <v>283</v>
      </c>
      <c r="E45" s="196" t="s">
        <v>320</v>
      </c>
      <c r="F45" s="195" t="s">
        <v>394</v>
      </c>
      <c r="G45" s="195" t="s">
        <v>434</v>
      </c>
    </row>
    <row r="46" spans="1:7" hidden="1">
      <c r="A46" s="194" t="s">
        <v>38</v>
      </c>
      <c r="B46" s="195">
        <v>-4637</v>
      </c>
      <c r="C46" s="195">
        <v>0</v>
      </c>
      <c r="D46" s="196" t="s">
        <v>283</v>
      </c>
      <c r="E46" s="196" t="s">
        <v>320</v>
      </c>
      <c r="F46" s="195" t="s">
        <v>408</v>
      </c>
      <c r="G46" s="195" t="s">
        <v>434</v>
      </c>
    </row>
    <row r="47" spans="1:7">
      <c r="A47" s="194" t="s">
        <v>38</v>
      </c>
      <c r="B47" s="195">
        <v>-10789</v>
      </c>
      <c r="C47" s="195">
        <v>0</v>
      </c>
      <c r="D47" s="196" t="s">
        <v>282</v>
      </c>
      <c r="E47" s="196" t="s">
        <v>320</v>
      </c>
      <c r="F47" s="195" t="s">
        <v>394</v>
      </c>
      <c r="G47" s="195" t="s">
        <v>434</v>
      </c>
    </row>
    <row r="48" spans="1:7">
      <c r="A48" s="194" t="s">
        <v>38</v>
      </c>
      <c r="B48" s="195">
        <v>-4637</v>
      </c>
      <c r="C48" s="195">
        <v>0</v>
      </c>
      <c r="D48" s="196" t="s">
        <v>282</v>
      </c>
      <c r="E48" s="196" t="s">
        <v>320</v>
      </c>
      <c r="F48" s="195" t="s">
        <v>408</v>
      </c>
      <c r="G48" s="195" t="s">
        <v>434</v>
      </c>
    </row>
    <row r="49" spans="1:7">
      <c r="A49" s="194" t="s">
        <v>38</v>
      </c>
      <c r="B49" s="195">
        <v>15426</v>
      </c>
      <c r="C49" s="195">
        <v>0</v>
      </c>
      <c r="D49" s="196" t="s">
        <v>282</v>
      </c>
      <c r="E49" s="196" t="s">
        <v>320</v>
      </c>
      <c r="F49" s="195" t="s">
        <v>449</v>
      </c>
      <c r="G49" s="195" t="s">
        <v>434</v>
      </c>
    </row>
    <row r="50" spans="1:7" hidden="1">
      <c r="A50" s="194" t="s">
        <v>38</v>
      </c>
      <c r="B50" s="195">
        <v>18172</v>
      </c>
      <c r="C50" s="195">
        <v>0</v>
      </c>
      <c r="D50" s="196" t="s">
        <v>442</v>
      </c>
      <c r="E50" s="196" t="s">
        <v>320</v>
      </c>
      <c r="F50" s="195" t="s">
        <v>394</v>
      </c>
      <c r="G50" s="195" t="s">
        <v>434</v>
      </c>
    </row>
    <row r="51" spans="1:7" hidden="1">
      <c r="A51" s="194" t="s">
        <v>453</v>
      </c>
      <c r="B51" s="195">
        <v>8250</v>
      </c>
      <c r="C51" s="195">
        <v>0</v>
      </c>
      <c r="D51" s="196" t="s">
        <v>437</v>
      </c>
      <c r="E51" s="196" t="s">
        <v>324</v>
      </c>
      <c r="F51" s="195" t="s">
        <v>394</v>
      </c>
      <c r="G51" s="195" t="s">
        <v>434</v>
      </c>
    </row>
    <row r="52" spans="1:7" hidden="1">
      <c r="A52" s="194" t="s">
        <v>454</v>
      </c>
      <c r="B52" s="195">
        <v>-8250</v>
      </c>
      <c r="C52" s="195">
        <v>0</v>
      </c>
      <c r="D52" s="196" t="s">
        <v>437</v>
      </c>
      <c r="E52" s="196" t="s">
        <v>324</v>
      </c>
      <c r="F52" s="195" t="s">
        <v>394</v>
      </c>
      <c r="G52" s="195" t="s">
        <v>434</v>
      </c>
    </row>
    <row r="53" spans="1:7" hidden="1">
      <c r="A53" s="194" t="s">
        <v>455</v>
      </c>
      <c r="B53" s="195">
        <v>5217</v>
      </c>
      <c r="C53" s="195">
        <v>0</v>
      </c>
      <c r="D53" s="196" t="s">
        <v>283</v>
      </c>
      <c r="E53" s="196" t="s">
        <v>324</v>
      </c>
      <c r="F53" s="195" t="s">
        <v>394</v>
      </c>
      <c r="G53" s="195" t="s">
        <v>434</v>
      </c>
    </row>
    <row r="54" spans="1:7" hidden="1">
      <c r="A54" s="194" t="s">
        <v>455</v>
      </c>
      <c r="B54" s="195">
        <v>345</v>
      </c>
      <c r="C54" s="195">
        <v>0</v>
      </c>
      <c r="D54" s="196" t="s">
        <v>283</v>
      </c>
      <c r="E54" s="196" t="s">
        <v>324</v>
      </c>
      <c r="F54" s="195" t="s">
        <v>408</v>
      </c>
      <c r="G54" s="195" t="s">
        <v>434</v>
      </c>
    </row>
    <row r="55" spans="1:7">
      <c r="A55" s="194" t="s">
        <v>455</v>
      </c>
      <c r="B55" s="195">
        <v>-806</v>
      </c>
      <c r="C55" s="195">
        <v>0</v>
      </c>
      <c r="D55" s="196" t="s">
        <v>282</v>
      </c>
      <c r="E55" s="196" t="s">
        <v>324</v>
      </c>
      <c r="F55" s="195" t="s">
        <v>394</v>
      </c>
      <c r="G55" s="195" t="s">
        <v>434</v>
      </c>
    </row>
    <row r="56" spans="1:7">
      <c r="A56" s="194" t="s">
        <v>455</v>
      </c>
      <c r="B56" s="195">
        <v>6368</v>
      </c>
      <c r="C56" s="195">
        <v>0</v>
      </c>
      <c r="D56" s="196" t="s">
        <v>282</v>
      </c>
      <c r="E56" s="196" t="s">
        <v>324</v>
      </c>
      <c r="F56" s="195" t="s">
        <v>408</v>
      </c>
      <c r="G56" s="195" t="s">
        <v>434</v>
      </c>
    </row>
    <row r="57" spans="1:7" hidden="1">
      <c r="A57" s="194" t="s">
        <v>456</v>
      </c>
      <c r="B57" s="195">
        <v>-5217</v>
      </c>
      <c r="C57" s="195">
        <v>0</v>
      </c>
      <c r="D57" s="196" t="s">
        <v>283</v>
      </c>
      <c r="E57" s="196" t="s">
        <v>324</v>
      </c>
      <c r="F57" s="195" t="s">
        <v>394</v>
      </c>
      <c r="G57" s="195" t="s">
        <v>434</v>
      </c>
    </row>
    <row r="58" spans="1:7" hidden="1">
      <c r="A58" s="194" t="s">
        <v>456</v>
      </c>
      <c r="B58" s="195">
        <v>-345</v>
      </c>
      <c r="C58" s="195">
        <v>0</v>
      </c>
      <c r="D58" s="196" t="s">
        <v>283</v>
      </c>
      <c r="E58" s="196" t="s">
        <v>324</v>
      </c>
      <c r="F58" s="195" t="s">
        <v>408</v>
      </c>
      <c r="G58" s="195" t="s">
        <v>434</v>
      </c>
    </row>
    <row r="59" spans="1:7">
      <c r="A59" s="194" t="s">
        <v>456</v>
      </c>
      <c r="B59" s="195">
        <v>806</v>
      </c>
      <c r="C59" s="195">
        <v>0</v>
      </c>
      <c r="D59" s="196" t="s">
        <v>282</v>
      </c>
      <c r="E59" s="196" t="s">
        <v>324</v>
      </c>
      <c r="F59" s="195" t="s">
        <v>394</v>
      </c>
      <c r="G59" s="195" t="s">
        <v>434</v>
      </c>
    </row>
    <row r="60" spans="1:7">
      <c r="A60" s="194" t="s">
        <v>456</v>
      </c>
      <c r="B60" s="195">
        <v>-6368</v>
      </c>
      <c r="C60" s="195">
        <v>0</v>
      </c>
      <c r="D60" s="196" t="s">
        <v>282</v>
      </c>
      <c r="E60" s="196" t="s">
        <v>324</v>
      </c>
      <c r="F60" s="195" t="s">
        <v>408</v>
      </c>
      <c r="G60" s="195" t="s">
        <v>434</v>
      </c>
    </row>
    <row r="61" spans="1:7">
      <c r="A61" s="194" t="s">
        <v>457</v>
      </c>
      <c r="B61" s="195">
        <v>-1210</v>
      </c>
      <c r="C61" s="195">
        <v>0</v>
      </c>
      <c r="D61" s="196" t="s">
        <v>282</v>
      </c>
      <c r="E61" s="196" t="s">
        <v>39</v>
      </c>
      <c r="F61" s="195" t="s">
        <v>394</v>
      </c>
      <c r="G61" s="195" t="s">
        <v>434</v>
      </c>
    </row>
    <row r="62" spans="1:7">
      <c r="A62" s="194" t="s">
        <v>457</v>
      </c>
      <c r="B62" s="195">
        <v>1210</v>
      </c>
      <c r="C62" s="195">
        <v>0</v>
      </c>
      <c r="D62" s="196" t="s">
        <v>282</v>
      </c>
      <c r="E62" s="196" t="s">
        <v>39</v>
      </c>
      <c r="F62" s="195" t="s">
        <v>393</v>
      </c>
      <c r="G62" s="195" t="s">
        <v>434</v>
      </c>
    </row>
    <row r="63" spans="1:7" hidden="1">
      <c r="A63" s="194" t="s">
        <v>137</v>
      </c>
      <c r="B63" s="195">
        <v>3060</v>
      </c>
      <c r="C63" s="195">
        <v>0</v>
      </c>
      <c r="D63" s="196" t="s">
        <v>283</v>
      </c>
      <c r="E63" s="196" t="s">
        <v>317</v>
      </c>
      <c r="F63" s="195" t="s">
        <v>394</v>
      </c>
      <c r="G63" s="195" t="s">
        <v>434</v>
      </c>
    </row>
    <row r="64" spans="1:7" hidden="1">
      <c r="A64" s="194" t="s">
        <v>137</v>
      </c>
      <c r="B64" s="195">
        <v>-3061</v>
      </c>
      <c r="C64" s="195">
        <v>0</v>
      </c>
      <c r="D64" s="196" t="s">
        <v>283</v>
      </c>
      <c r="E64" s="196" t="s">
        <v>317</v>
      </c>
      <c r="F64" s="195" t="s">
        <v>441</v>
      </c>
      <c r="G64" s="195" t="s">
        <v>434</v>
      </c>
    </row>
    <row r="65" spans="1:7">
      <c r="A65" s="194" t="s">
        <v>137</v>
      </c>
      <c r="B65" s="195">
        <v>-791</v>
      </c>
      <c r="C65" s="195">
        <v>0</v>
      </c>
      <c r="D65" s="196" t="s">
        <v>282</v>
      </c>
      <c r="E65" s="196" t="s">
        <v>317</v>
      </c>
      <c r="F65" s="195" t="s">
        <v>394</v>
      </c>
      <c r="G65" s="195" t="s">
        <v>434</v>
      </c>
    </row>
    <row r="66" spans="1:7">
      <c r="A66" s="194" t="s">
        <v>137</v>
      </c>
      <c r="B66" s="195">
        <v>-5960</v>
      </c>
      <c r="C66" s="195">
        <v>0</v>
      </c>
      <c r="D66" s="196" t="s">
        <v>282</v>
      </c>
      <c r="E66" s="196" t="s">
        <v>317</v>
      </c>
      <c r="F66" s="195" t="s">
        <v>445</v>
      </c>
      <c r="G66" s="195" t="s">
        <v>434</v>
      </c>
    </row>
    <row r="67" spans="1:7">
      <c r="A67" s="194" t="s">
        <v>137</v>
      </c>
      <c r="B67" s="195">
        <v>2026</v>
      </c>
      <c r="C67" s="195">
        <v>0</v>
      </c>
      <c r="D67" s="196" t="s">
        <v>282</v>
      </c>
      <c r="E67" s="196" t="s">
        <v>317</v>
      </c>
      <c r="F67" s="195" t="s">
        <v>408</v>
      </c>
      <c r="G67" s="195" t="s">
        <v>434</v>
      </c>
    </row>
    <row r="68" spans="1:7">
      <c r="A68" s="194" t="s">
        <v>137</v>
      </c>
      <c r="B68" s="195">
        <v>4445</v>
      </c>
      <c r="C68" s="195">
        <v>0</v>
      </c>
      <c r="D68" s="196" t="s">
        <v>282</v>
      </c>
      <c r="E68" s="196" t="s">
        <v>317</v>
      </c>
      <c r="F68" s="195" t="s">
        <v>393</v>
      </c>
      <c r="G68" s="195" t="s">
        <v>434</v>
      </c>
    </row>
    <row r="69" spans="1:7">
      <c r="A69" s="194" t="s">
        <v>137</v>
      </c>
      <c r="B69" s="195">
        <v>1113</v>
      </c>
      <c r="C69" s="195">
        <v>0</v>
      </c>
      <c r="D69" s="196" t="s">
        <v>282</v>
      </c>
      <c r="E69" s="196" t="s">
        <v>317</v>
      </c>
      <c r="F69" s="195" t="s">
        <v>413</v>
      </c>
      <c r="G69" s="195" t="s">
        <v>434</v>
      </c>
    </row>
    <row r="70" spans="1:7">
      <c r="A70" s="194" t="s">
        <v>137</v>
      </c>
      <c r="B70" s="195">
        <v>-3893</v>
      </c>
      <c r="C70" s="195">
        <v>0</v>
      </c>
      <c r="D70" s="196" t="s">
        <v>282</v>
      </c>
      <c r="E70" s="196" t="s">
        <v>317</v>
      </c>
      <c r="F70" s="195" t="s">
        <v>403</v>
      </c>
      <c r="G70" s="195" t="s">
        <v>434</v>
      </c>
    </row>
    <row r="71" spans="1:7">
      <c r="A71" s="194" t="s">
        <v>137</v>
      </c>
      <c r="B71" s="195">
        <v>3061</v>
      </c>
      <c r="C71" s="195">
        <v>0</v>
      </c>
      <c r="D71" s="196" t="s">
        <v>282</v>
      </c>
      <c r="E71" s="196" t="s">
        <v>317</v>
      </c>
      <c r="F71" s="195" t="s">
        <v>441</v>
      </c>
      <c r="G71" s="195" t="s">
        <v>434</v>
      </c>
    </row>
    <row r="72" spans="1:7">
      <c r="A72" s="194" t="s">
        <v>458</v>
      </c>
      <c r="B72" s="195">
        <v>106</v>
      </c>
      <c r="C72" s="195">
        <v>0</v>
      </c>
      <c r="D72" s="196" t="s">
        <v>282</v>
      </c>
      <c r="E72" s="196" t="s">
        <v>319</v>
      </c>
      <c r="F72" s="195" t="s">
        <v>394</v>
      </c>
      <c r="G72" s="195" t="s">
        <v>434</v>
      </c>
    </row>
    <row r="73" spans="1:7">
      <c r="A73" s="194" t="s">
        <v>458</v>
      </c>
      <c r="B73" s="195">
        <v>-106</v>
      </c>
      <c r="C73" s="195">
        <v>0</v>
      </c>
      <c r="D73" s="196" t="s">
        <v>282</v>
      </c>
      <c r="E73" s="196" t="s">
        <v>319</v>
      </c>
      <c r="F73" s="195" t="s">
        <v>408</v>
      </c>
      <c r="G73" s="195" t="s">
        <v>434</v>
      </c>
    </row>
    <row r="74" spans="1:7">
      <c r="A74" s="194" t="s">
        <v>459</v>
      </c>
      <c r="B74" s="195">
        <v>-106</v>
      </c>
      <c r="C74" s="195">
        <v>0</v>
      </c>
      <c r="D74" s="196" t="s">
        <v>282</v>
      </c>
      <c r="E74" s="196" t="s">
        <v>319</v>
      </c>
      <c r="F74" s="195" t="s">
        <v>394</v>
      </c>
      <c r="G74" s="195" t="s">
        <v>434</v>
      </c>
    </row>
    <row r="75" spans="1:7">
      <c r="A75" s="194" t="s">
        <v>459</v>
      </c>
      <c r="B75" s="195">
        <v>106</v>
      </c>
      <c r="C75" s="195">
        <v>0</v>
      </c>
      <c r="D75" s="196" t="s">
        <v>282</v>
      </c>
      <c r="E75" s="196" t="s">
        <v>319</v>
      </c>
      <c r="F75" s="195" t="s">
        <v>408</v>
      </c>
      <c r="G75" s="195" t="s">
        <v>434</v>
      </c>
    </row>
    <row r="76" spans="1:7">
      <c r="A76" s="194" t="s">
        <v>460</v>
      </c>
      <c r="B76" s="195">
        <v>11328</v>
      </c>
      <c r="C76" s="195">
        <v>0</v>
      </c>
      <c r="D76" s="196" t="s">
        <v>282</v>
      </c>
      <c r="E76" s="196" t="s">
        <v>317</v>
      </c>
      <c r="F76" s="195" t="s">
        <v>394</v>
      </c>
      <c r="G76" s="195" t="s">
        <v>434</v>
      </c>
    </row>
    <row r="77" spans="1:7">
      <c r="A77" s="194" t="s">
        <v>460</v>
      </c>
      <c r="B77" s="195">
        <v>5649</v>
      </c>
      <c r="C77" s="195">
        <v>0</v>
      </c>
      <c r="D77" s="196" t="s">
        <v>282</v>
      </c>
      <c r="E77" s="196" t="s">
        <v>317</v>
      </c>
      <c r="F77" s="195" t="s">
        <v>445</v>
      </c>
      <c r="G77" s="195" t="s">
        <v>434</v>
      </c>
    </row>
    <row r="78" spans="1:7">
      <c r="A78" s="194" t="s">
        <v>460</v>
      </c>
      <c r="B78" s="195">
        <v>-11795</v>
      </c>
      <c r="C78" s="195">
        <v>0</v>
      </c>
      <c r="D78" s="196" t="s">
        <v>282</v>
      </c>
      <c r="E78" s="196" t="s">
        <v>317</v>
      </c>
      <c r="F78" s="195" t="s">
        <v>397</v>
      </c>
      <c r="G78" s="195" t="s">
        <v>434</v>
      </c>
    </row>
    <row r="79" spans="1:7">
      <c r="A79" s="194" t="s">
        <v>460</v>
      </c>
      <c r="B79" s="195">
        <v>-5182</v>
      </c>
      <c r="C79" s="195">
        <v>0</v>
      </c>
      <c r="D79" s="196" t="s">
        <v>282</v>
      </c>
      <c r="E79" s="196" t="s">
        <v>317</v>
      </c>
      <c r="F79" s="195" t="s">
        <v>393</v>
      </c>
      <c r="G79" s="195" t="s">
        <v>434</v>
      </c>
    </row>
    <row r="80" spans="1:7">
      <c r="A80" s="194" t="s">
        <v>461</v>
      </c>
      <c r="B80" s="195">
        <v>7124</v>
      </c>
      <c r="C80" s="195">
        <v>0</v>
      </c>
      <c r="D80" s="196" t="s">
        <v>282</v>
      </c>
      <c r="E80" s="196" t="s">
        <v>39</v>
      </c>
      <c r="F80" s="195" t="s">
        <v>394</v>
      </c>
      <c r="G80" s="195" t="s">
        <v>434</v>
      </c>
    </row>
    <row r="81" spans="1:7">
      <c r="A81" s="194" t="s">
        <v>461</v>
      </c>
      <c r="B81" s="195">
        <v>-8428</v>
      </c>
      <c r="C81" s="195">
        <v>0</v>
      </c>
      <c r="D81" s="196" t="s">
        <v>282</v>
      </c>
      <c r="E81" s="196" t="s">
        <v>39</v>
      </c>
      <c r="F81" s="195" t="s">
        <v>445</v>
      </c>
      <c r="G81" s="195" t="s">
        <v>434</v>
      </c>
    </row>
    <row r="82" spans="1:7">
      <c r="A82" s="194" t="s">
        <v>461</v>
      </c>
      <c r="B82" s="195">
        <v>1304</v>
      </c>
      <c r="C82" s="195">
        <v>0</v>
      </c>
      <c r="D82" s="196" t="s">
        <v>282</v>
      </c>
      <c r="E82" s="196" t="s">
        <v>39</v>
      </c>
      <c r="F82" s="195" t="s">
        <v>393</v>
      </c>
      <c r="G82" s="195" t="s">
        <v>434</v>
      </c>
    </row>
    <row r="83" spans="1:7" hidden="1">
      <c r="A83" s="194" t="s">
        <v>462</v>
      </c>
      <c r="B83" s="195">
        <v>1000000</v>
      </c>
      <c r="C83" s="195">
        <v>0</v>
      </c>
      <c r="D83" s="196" t="s">
        <v>463</v>
      </c>
      <c r="E83" s="196" t="s">
        <v>464</v>
      </c>
      <c r="F83" s="195" t="s">
        <v>394</v>
      </c>
      <c r="G83" s="195" t="s">
        <v>434</v>
      </c>
    </row>
    <row r="84" spans="1:7">
      <c r="A84" s="194" t="s">
        <v>465</v>
      </c>
      <c r="B84" s="195">
        <v>11351</v>
      </c>
      <c r="C84" s="195">
        <v>0</v>
      </c>
      <c r="D84" s="196" t="s">
        <v>282</v>
      </c>
      <c r="E84" s="196" t="s">
        <v>317</v>
      </c>
      <c r="F84" s="195" t="s">
        <v>394</v>
      </c>
      <c r="G84" s="195" t="s">
        <v>434</v>
      </c>
    </row>
    <row r="85" spans="1:7">
      <c r="A85" s="194" t="s">
        <v>465</v>
      </c>
      <c r="B85" s="195">
        <v>-24865</v>
      </c>
      <c r="C85" s="195">
        <v>0</v>
      </c>
      <c r="D85" s="196" t="s">
        <v>282</v>
      </c>
      <c r="E85" s="196" t="s">
        <v>317</v>
      </c>
      <c r="F85" s="195" t="s">
        <v>445</v>
      </c>
      <c r="G85" s="195" t="s">
        <v>434</v>
      </c>
    </row>
    <row r="86" spans="1:7">
      <c r="A86" s="194" t="s">
        <v>465</v>
      </c>
      <c r="B86" s="195">
        <v>13514</v>
      </c>
      <c r="C86" s="195">
        <v>0</v>
      </c>
      <c r="D86" s="196" t="s">
        <v>282</v>
      </c>
      <c r="E86" s="196" t="s">
        <v>317</v>
      </c>
      <c r="F86" s="195" t="s">
        <v>393</v>
      </c>
      <c r="G86" s="195" t="s">
        <v>434</v>
      </c>
    </row>
    <row r="87" spans="1:7">
      <c r="A87" s="194" t="s">
        <v>128</v>
      </c>
      <c r="B87" s="195">
        <v>-96</v>
      </c>
      <c r="C87" s="195">
        <v>0</v>
      </c>
      <c r="D87" s="196" t="s">
        <v>282</v>
      </c>
      <c r="E87" s="196" t="s">
        <v>317</v>
      </c>
      <c r="F87" s="195" t="s">
        <v>394</v>
      </c>
      <c r="G87" s="195" t="s">
        <v>434</v>
      </c>
    </row>
    <row r="88" spans="1:7">
      <c r="A88" s="194" t="s">
        <v>128</v>
      </c>
      <c r="B88" s="195">
        <v>96</v>
      </c>
      <c r="C88" s="195">
        <v>0</v>
      </c>
      <c r="D88" s="196" t="s">
        <v>282</v>
      </c>
      <c r="E88" s="196" t="s">
        <v>317</v>
      </c>
      <c r="F88" s="195" t="s">
        <v>393</v>
      </c>
      <c r="G88" s="195" t="s">
        <v>434</v>
      </c>
    </row>
    <row r="89" spans="1:7" hidden="1">
      <c r="A89" s="194" t="s">
        <v>466</v>
      </c>
      <c r="B89" s="195">
        <v>469413</v>
      </c>
      <c r="C89" s="195">
        <v>0</v>
      </c>
      <c r="D89" s="196" t="s">
        <v>440</v>
      </c>
      <c r="E89" s="196" t="s">
        <v>39</v>
      </c>
      <c r="F89" s="195" t="s">
        <v>394</v>
      </c>
      <c r="G89" s="195" t="s">
        <v>434</v>
      </c>
    </row>
    <row r="90" spans="1:7" hidden="1">
      <c r="A90" s="194" t="s">
        <v>466</v>
      </c>
      <c r="B90" s="195">
        <v>-469413</v>
      </c>
      <c r="C90" s="195">
        <v>0</v>
      </c>
      <c r="D90" s="196" t="s">
        <v>440</v>
      </c>
      <c r="E90" s="196" t="s">
        <v>39</v>
      </c>
      <c r="F90" s="195" t="s">
        <v>402</v>
      </c>
      <c r="G90" s="195" t="s">
        <v>434</v>
      </c>
    </row>
    <row r="91" spans="1:7" hidden="1">
      <c r="A91" s="194" t="s">
        <v>467</v>
      </c>
      <c r="B91" s="195">
        <v>-700000</v>
      </c>
      <c r="C91" s="195">
        <v>0</v>
      </c>
      <c r="D91" s="196" t="s">
        <v>463</v>
      </c>
      <c r="E91" s="196" t="s">
        <v>464</v>
      </c>
      <c r="F91" s="195" t="s">
        <v>394</v>
      </c>
      <c r="G91" s="195" t="s">
        <v>434</v>
      </c>
    </row>
    <row r="92" spans="1:7" hidden="1">
      <c r="A92" s="194" t="s">
        <v>467</v>
      </c>
      <c r="B92" s="195">
        <v>1500000</v>
      </c>
      <c r="C92" s="195">
        <v>0</v>
      </c>
      <c r="D92" s="196" t="s">
        <v>463</v>
      </c>
      <c r="E92" s="196" t="s">
        <v>464</v>
      </c>
      <c r="F92" s="195" t="s">
        <v>468</v>
      </c>
      <c r="G92" s="195" t="s">
        <v>434</v>
      </c>
    </row>
    <row r="93" spans="1:7" hidden="1">
      <c r="A93" s="194" t="s">
        <v>467</v>
      </c>
      <c r="B93" s="195">
        <v>-1074000</v>
      </c>
      <c r="C93" s="195">
        <v>0</v>
      </c>
      <c r="D93" s="196" t="s">
        <v>463</v>
      </c>
      <c r="E93" s="196" t="s">
        <v>464</v>
      </c>
      <c r="F93" s="195" t="s">
        <v>413</v>
      </c>
      <c r="G93" s="195" t="s">
        <v>434</v>
      </c>
    </row>
    <row r="94" spans="1:7" hidden="1">
      <c r="A94" s="194" t="s">
        <v>467</v>
      </c>
      <c r="B94" s="195">
        <v>274000</v>
      </c>
      <c r="C94" s="195">
        <v>0</v>
      </c>
      <c r="D94" s="196" t="s">
        <v>463</v>
      </c>
      <c r="E94" s="196" t="s">
        <v>464</v>
      </c>
      <c r="F94" s="195" t="s">
        <v>469</v>
      </c>
      <c r="G94" s="195" t="s">
        <v>434</v>
      </c>
    </row>
    <row r="95" spans="1:7" hidden="1">
      <c r="A95" s="194" t="s">
        <v>470</v>
      </c>
      <c r="B95" s="195">
        <v>320000</v>
      </c>
      <c r="C95" s="195">
        <v>0</v>
      </c>
      <c r="D95" s="196" t="s">
        <v>440</v>
      </c>
      <c r="E95" s="196" t="s">
        <v>39</v>
      </c>
      <c r="F95" s="195" t="s">
        <v>394</v>
      </c>
      <c r="G95" s="195" t="s">
        <v>434</v>
      </c>
    </row>
    <row r="96" spans="1:7" hidden="1">
      <c r="A96" s="194" t="s">
        <v>470</v>
      </c>
      <c r="B96" s="195">
        <v>-320000</v>
      </c>
      <c r="C96" s="195">
        <v>0</v>
      </c>
      <c r="D96" s="196" t="s">
        <v>440</v>
      </c>
      <c r="E96" s="196" t="s">
        <v>39</v>
      </c>
      <c r="F96" s="195" t="s">
        <v>402</v>
      </c>
      <c r="G96" s="195" t="s">
        <v>434</v>
      </c>
    </row>
    <row r="97" spans="1:7" hidden="1">
      <c r="A97" s="194" t="s">
        <v>471</v>
      </c>
      <c r="B97" s="195">
        <v>3330000</v>
      </c>
      <c r="C97" s="195">
        <v>0</v>
      </c>
      <c r="D97" s="196" t="s">
        <v>463</v>
      </c>
      <c r="E97" s="196" t="s">
        <v>464</v>
      </c>
      <c r="F97" s="195" t="s">
        <v>468</v>
      </c>
      <c r="G97" s="195" t="s">
        <v>434</v>
      </c>
    </row>
    <row r="98" spans="1:7" hidden="1">
      <c r="A98" s="194" t="s">
        <v>471</v>
      </c>
      <c r="B98" s="195">
        <v>-4660000</v>
      </c>
      <c r="C98" s="195">
        <v>0</v>
      </c>
      <c r="D98" s="196" t="s">
        <v>463</v>
      </c>
      <c r="E98" s="196" t="s">
        <v>464</v>
      </c>
      <c r="F98" s="195" t="s">
        <v>397</v>
      </c>
      <c r="G98" s="195" t="s">
        <v>434</v>
      </c>
    </row>
    <row r="99" spans="1:7" hidden="1">
      <c r="A99" s="194" t="s">
        <v>471</v>
      </c>
      <c r="B99" s="195">
        <v>1330000</v>
      </c>
      <c r="C99" s="195">
        <v>0</v>
      </c>
      <c r="D99" s="196" t="s">
        <v>463</v>
      </c>
      <c r="E99" s="196" t="s">
        <v>464</v>
      </c>
      <c r="F99" s="195" t="s">
        <v>469</v>
      </c>
      <c r="G99" s="195" t="s">
        <v>434</v>
      </c>
    </row>
    <row r="100" spans="1:7" hidden="1">
      <c r="A100" s="194" t="s">
        <v>472</v>
      </c>
      <c r="B100" s="195">
        <v>-12150000</v>
      </c>
      <c r="C100" s="195">
        <v>0</v>
      </c>
      <c r="D100" s="196" t="s">
        <v>463</v>
      </c>
      <c r="E100" s="196" t="s">
        <v>464</v>
      </c>
      <c r="F100" s="195" t="s">
        <v>397</v>
      </c>
      <c r="G100" s="195" t="s">
        <v>434</v>
      </c>
    </row>
    <row r="101" spans="1:7" hidden="1">
      <c r="A101" s="194" t="s">
        <v>472</v>
      </c>
      <c r="B101" s="195">
        <v>11850000</v>
      </c>
      <c r="C101" s="195">
        <v>0</v>
      </c>
      <c r="D101" s="196" t="s">
        <v>463</v>
      </c>
      <c r="E101" s="196" t="s">
        <v>464</v>
      </c>
      <c r="F101" s="195" t="s">
        <v>413</v>
      </c>
      <c r="G101" s="195" t="s">
        <v>434</v>
      </c>
    </row>
    <row r="102" spans="1:7" hidden="1">
      <c r="A102" s="194" t="s">
        <v>472</v>
      </c>
      <c r="B102" s="195">
        <v>300000</v>
      </c>
      <c r="C102" s="195">
        <v>0</v>
      </c>
      <c r="D102" s="196" t="s">
        <v>463</v>
      </c>
      <c r="E102" s="196" t="s">
        <v>464</v>
      </c>
      <c r="F102" s="195" t="s">
        <v>469</v>
      </c>
      <c r="G102" s="195" t="s">
        <v>434</v>
      </c>
    </row>
    <row r="103" spans="1:7" hidden="1">
      <c r="A103" s="194" t="s">
        <v>473</v>
      </c>
      <c r="B103" s="195">
        <v>-1570</v>
      </c>
      <c r="C103" s="195">
        <v>0</v>
      </c>
      <c r="D103" s="196" t="s">
        <v>440</v>
      </c>
      <c r="E103" s="196" t="s">
        <v>39</v>
      </c>
      <c r="F103" s="195" t="s">
        <v>394</v>
      </c>
      <c r="G103" s="195" t="s">
        <v>434</v>
      </c>
    </row>
    <row r="104" spans="1:7" hidden="1">
      <c r="A104" s="194" t="s">
        <v>473</v>
      </c>
      <c r="B104" s="195">
        <v>1570</v>
      </c>
      <c r="C104" s="195">
        <v>0</v>
      </c>
      <c r="D104" s="196" t="s">
        <v>440</v>
      </c>
      <c r="E104" s="196" t="s">
        <v>39</v>
      </c>
      <c r="F104" s="195" t="s">
        <v>441</v>
      </c>
      <c r="G104" s="195" t="s">
        <v>434</v>
      </c>
    </row>
    <row r="105" spans="1:7" hidden="1">
      <c r="A105" s="194" t="s">
        <v>473</v>
      </c>
      <c r="B105" s="195">
        <v>-3802</v>
      </c>
      <c r="C105" s="195">
        <v>0</v>
      </c>
      <c r="D105" s="196" t="s">
        <v>442</v>
      </c>
      <c r="E105" s="196" t="s">
        <v>39</v>
      </c>
      <c r="F105" s="195" t="s">
        <v>394</v>
      </c>
      <c r="G105" s="195" t="s">
        <v>434</v>
      </c>
    </row>
    <row r="106" spans="1:7" hidden="1">
      <c r="A106" s="194" t="s">
        <v>473</v>
      </c>
      <c r="B106" s="195">
        <v>-1570</v>
      </c>
      <c r="C106" s="195">
        <v>0</v>
      </c>
      <c r="D106" s="196" t="s">
        <v>442</v>
      </c>
      <c r="E106" s="196" t="s">
        <v>39</v>
      </c>
      <c r="F106" s="195" t="s">
        <v>441</v>
      </c>
      <c r="G106" s="195" t="s">
        <v>434</v>
      </c>
    </row>
    <row r="107" spans="1:7" hidden="1">
      <c r="A107" s="194" t="s">
        <v>473</v>
      </c>
      <c r="B107" s="195">
        <v>54717</v>
      </c>
      <c r="C107" s="195">
        <v>0</v>
      </c>
      <c r="D107" s="196" t="s">
        <v>474</v>
      </c>
      <c r="E107" s="196" t="s">
        <v>39</v>
      </c>
      <c r="F107" s="195" t="s">
        <v>394</v>
      </c>
      <c r="G107" s="195" t="s">
        <v>434</v>
      </c>
    </row>
    <row r="108" spans="1:7" hidden="1">
      <c r="A108" s="194" t="s">
        <v>473</v>
      </c>
      <c r="B108" s="195">
        <v>-54717</v>
      </c>
      <c r="C108" s="195">
        <v>0</v>
      </c>
      <c r="D108" s="196" t="s">
        <v>474</v>
      </c>
      <c r="E108" s="196" t="s">
        <v>39</v>
      </c>
      <c r="F108" s="195" t="s">
        <v>402</v>
      </c>
      <c r="G108" s="195" t="s">
        <v>434</v>
      </c>
    </row>
    <row r="109" spans="1:7">
      <c r="A109" s="194" t="s">
        <v>475</v>
      </c>
      <c r="B109" s="195">
        <v>-104001</v>
      </c>
      <c r="C109" s="195">
        <v>0</v>
      </c>
      <c r="D109" s="196" t="s">
        <v>282</v>
      </c>
      <c r="E109" s="196" t="s">
        <v>317</v>
      </c>
      <c r="F109" s="195" t="s">
        <v>394</v>
      </c>
      <c r="G109" s="195" t="s">
        <v>434</v>
      </c>
    </row>
    <row r="110" spans="1:7">
      <c r="A110" s="194" t="s">
        <v>475</v>
      </c>
      <c r="B110" s="195">
        <v>6561</v>
      </c>
      <c r="C110" s="195">
        <v>0</v>
      </c>
      <c r="D110" s="196" t="s">
        <v>282</v>
      </c>
      <c r="E110" s="196" t="s">
        <v>317</v>
      </c>
      <c r="F110" s="195" t="s">
        <v>445</v>
      </c>
      <c r="G110" s="195" t="s">
        <v>434</v>
      </c>
    </row>
    <row r="111" spans="1:7">
      <c r="A111" s="194" t="s">
        <v>475</v>
      </c>
      <c r="B111" s="195">
        <v>97440</v>
      </c>
      <c r="C111" s="195">
        <v>0</v>
      </c>
      <c r="D111" s="196" t="s">
        <v>282</v>
      </c>
      <c r="E111" s="196" t="s">
        <v>317</v>
      </c>
      <c r="F111" s="195" t="s">
        <v>393</v>
      </c>
      <c r="G111" s="195" t="s">
        <v>434</v>
      </c>
    </row>
    <row r="112" spans="1:7" hidden="1">
      <c r="A112" s="194" t="s">
        <v>476</v>
      </c>
      <c r="B112" s="195">
        <v>-25000000</v>
      </c>
      <c r="C112" s="195">
        <v>0</v>
      </c>
      <c r="D112" s="196" t="s">
        <v>463</v>
      </c>
      <c r="E112" s="196" t="s">
        <v>477</v>
      </c>
      <c r="F112" s="195" t="s">
        <v>394</v>
      </c>
      <c r="G112" s="195" t="s">
        <v>434</v>
      </c>
    </row>
    <row r="113" spans="1:7" hidden="1">
      <c r="A113" s="194" t="s">
        <v>476</v>
      </c>
      <c r="B113" s="195">
        <v>25000000</v>
      </c>
      <c r="C113" s="195">
        <v>0</v>
      </c>
      <c r="D113" s="196" t="s">
        <v>463</v>
      </c>
      <c r="E113" s="196" t="s">
        <v>477</v>
      </c>
      <c r="F113" s="195" t="s">
        <v>393</v>
      </c>
      <c r="G113" s="195" t="s">
        <v>434</v>
      </c>
    </row>
    <row r="114" spans="1:7" hidden="1">
      <c r="A114" s="194" t="s">
        <v>478</v>
      </c>
      <c r="B114" s="195">
        <v>25000000</v>
      </c>
      <c r="C114" s="195">
        <v>0</v>
      </c>
      <c r="D114" s="196" t="s">
        <v>463</v>
      </c>
      <c r="E114" s="196" t="s">
        <v>477</v>
      </c>
      <c r="F114" s="195" t="s">
        <v>394</v>
      </c>
      <c r="G114" s="195" t="s">
        <v>434</v>
      </c>
    </row>
    <row r="115" spans="1:7" hidden="1">
      <c r="A115" s="194" t="s">
        <v>478</v>
      </c>
      <c r="B115" s="195">
        <v>-25000000</v>
      </c>
      <c r="C115" s="195">
        <v>0</v>
      </c>
      <c r="D115" s="196" t="s">
        <v>463</v>
      </c>
      <c r="E115" s="196" t="s">
        <v>477</v>
      </c>
      <c r="F115" s="195" t="s">
        <v>393</v>
      </c>
      <c r="G115" s="195" t="s">
        <v>434</v>
      </c>
    </row>
    <row r="116" spans="1:7" hidden="1">
      <c r="A116" s="194" t="s">
        <v>479</v>
      </c>
      <c r="B116" s="195">
        <v>-15825000</v>
      </c>
      <c r="C116" s="195">
        <v>0</v>
      </c>
      <c r="D116" s="196" t="s">
        <v>480</v>
      </c>
      <c r="E116" s="196" t="s">
        <v>477</v>
      </c>
      <c r="F116" s="195" t="s">
        <v>394</v>
      </c>
      <c r="G116" s="195" t="s">
        <v>434</v>
      </c>
    </row>
    <row r="117" spans="1:7" hidden="1">
      <c r="A117" s="194" t="s">
        <v>479</v>
      </c>
      <c r="B117" s="195">
        <v>15825000</v>
      </c>
      <c r="C117" s="195">
        <v>0</v>
      </c>
      <c r="D117" s="196" t="s">
        <v>480</v>
      </c>
      <c r="E117" s="196" t="s">
        <v>477</v>
      </c>
      <c r="F117" s="195" t="s">
        <v>481</v>
      </c>
      <c r="G117" s="195" t="s">
        <v>434</v>
      </c>
    </row>
    <row r="118" spans="1:7">
      <c r="A118" s="194" t="s">
        <v>479</v>
      </c>
      <c r="B118" s="195">
        <v>-7925000</v>
      </c>
      <c r="C118" s="195">
        <v>0</v>
      </c>
      <c r="D118" s="196" t="s">
        <v>282</v>
      </c>
      <c r="E118" s="196" t="s">
        <v>477</v>
      </c>
      <c r="F118" s="195" t="s">
        <v>394</v>
      </c>
      <c r="G118" s="195" t="s">
        <v>434</v>
      </c>
    </row>
    <row r="119" spans="1:7">
      <c r="A119" s="194" t="s">
        <v>479</v>
      </c>
      <c r="B119" s="195">
        <v>7925000</v>
      </c>
      <c r="C119" s="195">
        <v>0</v>
      </c>
      <c r="D119" s="196" t="s">
        <v>282</v>
      </c>
      <c r="E119" s="196" t="s">
        <v>477</v>
      </c>
      <c r="F119" s="195" t="s">
        <v>481</v>
      </c>
      <c r="G119" s="195" t="s">
        <v>434</v>
      </c>
    </row>
    <row r="120" spans="1:7" hidden="1">
      <c r="A120" s="194" t="s">
        <v>482</v>
      </c>
      <c r="B120" s="195">
        <v>34631250</v>
      </c>
      <c r="C120" s="195">
        <v>0</v>
      </c>
      <c r="D120" s="196" t="s">
        <v>480</v>
      </c>
      <c r="E120" s="196" t="s">
        <v>477</v>
      </c>
      <c r="F120" s="195" t="s">
        <v>394</v>
      </c>
      <c r="G120" s="195" t="s">
        <v>434</v>
      </c>
    </row>
    <row r="121" spans="1:7">
      <c r="A121" s="194" t="s">
        <v>482</v>
      </c>
      <c r="B121" s="195">
        <v>12868750</v>
      </c>
      <c r="C121" s="195">
        <v>0</v>
      </c>
      <c r="D121" s="196" t="s">
        <v>282</v>
      </c>
      <c r="E121" s="196" t="s">
        <v>477</v>
      </c>
      <c r="F121" s="195" t="s">
        <v>394</v>
      </c>
      <c r="G121" s="195" t="s">
        <v>434</v>
      </c>
    </row>
    <row r="122" spans="1:7">
      <c r="A122" s="194" t="s">
        <v>483</v>
      </c>
      <c r="B122" s="195">
        <v>-19028</v>
      </c>
      <c r="C122" s="195">
        <v>0</v>
      </c>
      <c r="D122" s="196" t="s">
        <v>282</v>
      </c>
      <c r="E122" s="196" t="s">
        <v>320</v>
      </c>
      <c r="F122" s="195" t="s">
        <v>394</v>
      </c>
      <c r="G122" s="195" t="s">
        <v>434</v>
      </c>
    </row>
    <row r="123" spans="1:7">
      <c r="A123" s="194" t="s">
        <v>483</v>
      </c>
      <c r="B123" s="195">
        <v>19028</v>
      </c>
      <c r="C123" s="195">
        <v>0</v>
      </c>
      <c r="D123" s="196" t="s">
        <v>282</v>
      </c>
      <c r="E123" s="196" t="s">
        <v>320</v>
      </c>
      <c r="F123" s="195" t="s">
        <v>393</v>
      </c>
      <c r="G123" s="195" t="s">
        <v>434</v>
      </c>
    </row>
    <row r="124" spans="1:7">
      <c r="A124" s="194" t="s">
        <v>80</v>
      </c>
      <c r="B124" s="195">
        <v>2324</v>
      </c>
      <c r="C124" s="195">
        <v>0</v>
      </c>
      <c r="D124" s="196" t="s">
        <v>282</v>
      </c>
      <c r="E124" s="196" t="s">
        <v>317</v>
      </c>
      <c r="F124" s="195" t="s">
        <v>394</v>
      </c>
      <c r="G124" s="195" t="s">
        <v>434</v>
      </c>
    </row>
    <row r="125" spans="1:7">
      <c r="A125" s="194" t="s">
        <v>80</v>
      </c>
      <c r="B125" s="195">
        <v>-2324</v>
      </c>
      <c r="C125" s="195">
        <v>0</v>
      </c>
      <c r="D125" s="196" t="s">
        <v>282</v>
      </c>
      <c r="E125" s="196" t="s">
        <v>317</v>
      </c>
      <c r="F125" s="195" t="s">
        <v>393</v>
      </c>
      <c r="G125" s="195" t="s">
        <v>434</v>
      </c>
    </row>
    <row r="126" spans="1:7">
      <c r="A126" s="194" t="s">
        <v>484</v>
      </c>
      <c r="B126" s="195">
        <v>46517</v>
      </c>
      <c r="C126" s="195">
        <v>0</v>
      </c>
      <c r="D126" s="196" t="s">
        <v>282</v>
      </c>
      <c r="E126" s="196" t="s">
        <v>320</v>
      </c>
      <c r="F126" s="195" t="s">
        <v>394</v>
      </c>
      <c r="G126" s="195" t="s">
        <v>434</v>
      </c>
    </row>
    <row r="127" spans="1:7">
      <c r="A127" s="194" t="s">
        <v>484</v>
      </c>
      <c r="B127" s="195">
        <v>-37768</v>
      </c>
      <c r="C127" s="195">
        <v>0</v>
      </c>
      <c r="D127" s="196" t="s">
        <v>282</v>
      </c>
      <c r="E127" s="196" t="s">
        <v>320</v>
      </c>
      <c r="F127" s="195" t="s">
        <v>445</v>
      </c>
      <c r="G127" s="195" t="s">
        <v>434</v>
      </c>
    </row>
    <row r="128" spans="1:7">
      <c r="A128" s="194" t="s">
        <v>484</v>
      </c>
      <c r="B128" s="195">
        <v>-8749</v>
      </c>
      <c r="C128" s="195">
        <v>0</v>
      </c>
      <c r="D128" s="196" t="s">
        <v>282</v>
      </c>
      <c r="E128" s="196" t="s">
        <v>320</v>
      </c>
      <c r="F128" s="195" t="s">
        <v>393</v>
      </c>
      <c r="G128" s="195" t="s">
        <v>434</v>
      </c>
    </row>
    <row r="129" spans="1:7" hidden="1">
      <c r="A129" s="194" t="s">
        <v>485</v>
      </c>
      <c r="B129" s="195">
        <v>367</v>
      </c>
      <c r="C129" s="195">
        <v>0</v>
      </c>
      <c r="D129" s="196" t="s">
        <v>440</v>
      </c>
      <c r="E129" s="196" t="s">
        <v>486</v>
      </c>
      <c r="F129" s="195" t="s">
        <v>394</v>
      </c>
      <c r="G129" s="195" t="s">
        <v>434</v>
      </c>
    </row>
    <row r="130" spans="1:7" hidden="1">
      <c r="A130" s="194" t="s">
        <v>485</v>
      </c>
      <c r="B130" s="195">
        <v>85</v>
      </c>
      <c r="C130" s="195">
        <v>0</v>
      </c>
      <c r="D130" s="196" t="s">
        <v>437</v>
      </c>
      <c r="E130" s="196" t="s">
        <v>486</v>
      </c>
      <c r="F130" s="195" t="s">
        <v>394</v>
      </c>
      <c r="G130" s="195" t="s">
        <v>434</v>
      </c>
    </row>
    <row r="131" spans="1:7" hidden="1">
      <c r="A131" s="194" t="s">
        <v>485</v>
      </c>
      <c r="B131" s="195">
        <v>-33</v>
      </c>
      <c r="C131" s="195">
        <v>0</v>
      </c>
      <c r="D131" s="196" t="s">
        <v>437</v>
      </c>
      <c r="E131" s="196" t="s">
        <v>486</v>
      </c>
      <c r="F131" s="195" t="s">
        <v>396</v>
      </c>
      <c r="G131" s="195" t="s">
        <v>434</v>
      </c>
    </row>
    <row r="132" spans="1:7" hidden="1">
      <c r="A132" s="194" t="s">
        <v>485</v>
      </c>
      <c r="B132" s="195">
        <v>-21</v>
      </c>
      <c r="C132" s="195">
        <v>0</v>
      </c>
      <c r="D132" s="196" t="s">
        <v>442</v>
      </c>
      <c r="E132" s="196" t="s">
        <v>486</v>
      </c>
      <c r="F132" s="195" t="s">
        <v>394</v>
      </c>
      <c r="G132" s="195" t="s">
        <v>434</v>
      </c>
    </row>
    <row r="133" spans="1:7" hidden="1">
      <c r="A133" s="194" t="s">
        <v>487</v>
      </c>
      <c r="B133" s="195">
        <v>887</v>
      </c>
      <c r="C133" s="195">
        <v>0</v>
      </c>
      <c r="D133" s="196" t="s">
        <v>440</v>
      </c>
      <c r="E133" s="196" t="s">
        <v>488</v>
      </c>
      <c r="F133" s="195" t="s">
        <v>394</v>
      </c>
      <c r="G133" s="195" t="s">
        <v>434</v>
      </c>
    </row>
    <row r="134" spans="1:7" hidden="1">
      <c r="A134" s="194" t="s">
        <v>489</v>
      </c>
      <c r="B134" s="195">
        <v>-887</v>
      </c>
      <c r="C134" s="195">
        <v>0</v>
      </c>
      <c r="D134" s="196" t="s">
        <v>440</v>
      </c>
      <c r="E134" s="196" t="s">
        <v>488</v>
      </c>
      <c r="F134" s="195" t="s">
        <v>394</v>
      </c>
      <c r="G134" s="195" t="s">
        <v>434</v>
      </c>
    </row>
    <row r="135" spans="1:7" hidden="1">
      <c r="A135" s="194" t="s">
        <v>490</v>
      </c>
      <c r="B135" s="195">
        <v>887</v>
      </c>
      <c r="C135" s="195">
        <v>0</v>
      </c>
      <c r="D135" s="196" t="s">
        <v>440</v>
      </c>
      <c r="E135" s="196" t="s">
        <v>488</v>
      </c>
      <c r="F135" s="195" t="s">
        <v>394</v>
      </c>
      <c r="G135" s="195" t="s">
        <v>434</v>
      </c>
    </row>
    <row r="136" spans="1:7" hidden="1">
      <c r="A136" s="194" t="s">
        <v>491</v>
      </c>
      <c r="B136" s="195">
        <v>-512</v>
      </c>
      <c r="C136" s="195">
        <v>0</v>
      </c>
      <c r="D136" s="196" t="s">
        <v>440</v>
      </c>
      <c r="E136" s="196" t="s">
        <v>486</v>
      </c>
      <c r="F136" s="195" t="s">
        <v>394</v>
      </c>
      <c r="G136" s="195" t="s">
        <v>434</v>
      </c>
    </row>
    <row r="137" spans="1:7" hidden="1">
      <c r="A137" s="194" t="s">
        <v>492</v>
      </c>
      <c r="B137" s="195">
        <v>3612</v>
      </c>
      <c r="C137" s="195">
        <v>0</v>
      </c>
      <c r="D137" s="196" t="s">
        <v>442</v>
      </c>
      <c r="E137" s="196" t="s">
        <v>317</v>
      </c>
      <c r="F137" s="195" t="s">
        <v>394</v>
      </c>
      <c r="G137" s="195" t="s">
        <v>434</v>
      </c>
    </row>
    <row r="138" spans="1:7" hidden="1">
      <c r="A138" s="194" t="s">
        <v>134</v>
      </c>
      <c r="B138" s="195">
        <v>930</v>
      </c>
      <c r="C138" s="195">
        <v>0</v>
      </c>
      <c r="D138" s="196" t="s">
        <v>283</v>
      </c>
      <c r="E138" s="196" t="s">
        <v>317</v>
      </c>
      <c r="F138" s="195" t="s">
        <v>394</v>
      </c>
      <c r="G138" s="195" t="s">
        <v>434</v>
      </c>
    </row>
    <row r="139" spans="1:7" hidden="1">
      <c r="A139" s="194" t="s">
        <v>134</v>
      </c>
      <c r="B139" s="195">
        <v>-930</v>
      </c>
      <c r="C139" s="195">
        <v>0</v>
      </c>
      <c r="D139" s="196" t="s">
        <v>283</v>
      </c>
      <c r="E139" s="196" t="s">
        <v>317</v>
      </c>
      <c r="F139" s="195" t="s">
        <v>441</v>
      </c>
      <c r="G139" s="195" t="s">
        <v>434</v>
      </c>
    </row>
    <row r="140" spans="1:7">
      <c r="A140" s="194" t="s">
        <v>134</v>
      </c>
      <c r="B140" s="195">
        <v>8655</v>
      </c>
      <c r="C140" s="195">
        <v>0</v>
      </c>
      <c r="D140" s="196" t="s">
        <v>282</v>
      </c>
      <c r="E140" s="196" t="s">
        <v>317</v>
      </c>
      <c r="F140" s="195" t="s">
        <v>394</v>
      </c>
      <c r="G140" s="195" t="s">
        <v>434</v>
      </c>
    </row>
    <row r="141" spans="1:7">
      <c r="A141" s="194" t="s">
        <v>134</v>
      </c>
      <c r="B141" s="195">
        <v>-3011</v>
      </c>
      <c r="C141" s="195">
        <v>0</v>
      </c>
      <c r="D141" s="196" t="s">
        <v>282</v>
      </c>
      <c r="E141" s="196" t="s">
        <v>317</v>
      </c>
      <c r="F141" s="195" t="s">
        <v>408</v>
      </c>
      <c r="G141" s="195" t="s">
        <v>434</v>
      </c>
    </row>
    <row r="142" spans="1:7">
      <c r="A142" s="194" t="s">
        <v>134</v>
      </c>
      <c r="B142" s="195">
        <v>-2141</v>
      </c>
      <c r="C142" s="195">
        <v>0</v>
      </c>
      <c r="D142" s="196" t="s">
        <v>282</v>
      </c>
      <c r="E142" s="196" t="s">
        <v>317</v>
      </c>
      <c r="F142" s="195" t="s">
        <v>393</v>
      </c>
      <c r="G142" s="195" t="s">
        <v>434</v>
      </c>
    </row>
    <row r="143" spans="1:7">
      <c r="A143" s="194" t="s">
        <v>134</v>
      </c>
      <c r="B143" s="195">
        <v>-1649</v>
      </c>
      <c r="C143" s="195">
        <v>0</v>
      </c>
      <c r="D143" s="196" t="s">
        <v>282</v>
      </c>
      <c r="E143" s="196" t="s">
        <v>317</v>
      </c>
      <c r="F143" s="195" t="s">
        <v>413</v>
      </c>
      <c r="G143" s="195" t="s">
        <v>434</v>
      </c>
    </row>
    <row r="144" spans="1:7">
      <c r="A144" s="194" t="s">
        <v>134</v>
      </c>
      <c r="B144" s="195">
        <v>-2784</v>
      </c>
      <c r="C144" s="195">
        <v>0</v>
      </c>
      <c r="D144" s="196" t="s">
        <v>282</v>
      </c>
      <c r="E144" s="196" t="s">
        <v>317</v>
      </c>
      <c r="F144" s="195" t="s">
        <v>403</v>
      </c>
      <c r="G144" s="195" t="s">
        <v>434</v>
      </c>
    </row>
    <row r="145" spans="1:7">
      <c r="A145" s="194" t="s">
        <v>134</v>
      </c>
      <c r="B145" s="195">
        <v>930</v>
      </c>
      <c r="C145" s="195">
        <v>0</v>
      </c>
      <c r="D145" s="196" t="s">
        <v>282</v>
      </c>
      <c r="E145" s="196" t="s">
        <v>317</v>
      </c>
      <c r="F145" s="195" t="s">
        <v>441</v>
      </c>
      <c r="G145" s="195" t="s">
        <v>434</v>
      </c>
    </row>
    <row r="146" spans="1:7">
      <c r="A146" s="194" t="s">
        <v>493</v>
      </c>
      <c r="B146" s="195">
        <v>-121</v>
      </c>
      <c r="C146" s="195">
        <v>0</v>
      </c>
      <c r="D146" s="196" t="s">
        <v>282</v>
      </c>
      <c r="E146" s="196" t="s">
        <v>319</v>
      </c>
      <c r="F146" s="195" t="s">
        <v>408</v>
      </c>
      <c r="G146" s="195" t="s">
        <v>434</v>
      </c>
    </row>
    <row r="147" spans="1:7">
      <c r="A147" s="194" t="s">
        <v>493</v>
      </c>
      <c r="B147" s="195">
        <v>121</v>
      </c>
      <c r="C147" s="195">
        <v>0</v>
      </c>
      <c r="D147" s="196" t="s">
        <v>282</v>
      </c>
      <c r="E147" s="196" t="s">
        <v>319</v>
      </c>
      <c r="F147" s="195" t="s">
        <v>393</v>
      </c>
      <c r="G147" s="195" t="s">
        <v>434</v>
      </c>
    </row>
    <row r="148" spans="1:7">
      <c r="A148" s="194" t="s">
        <v>494</v>
      </c>
      <c r="B148" s="195">
        <v>147</v>
      </c>
      <c r="C148" s="195">
        <v>0</v>
      </c>
      <c r="D148" s="196" t="s">
        <v>282</v>
      </c>
      <c r="E148" s="196" t="s">
        <v>319</v>
      </c>
      <c r="F148" s="195" t="s">
        <v>394</v>
      </c>
      <c r="G148" s="195" t="s">
        <v>434</v>
      </c>
    </row>
    <row r="149" spans="1:7">
      <c r="A149" s="194" t="s">
        <v>494</v>
      </c>
      <c r="B149" s="195">
        <v>216</v>
      </c>
      <c r="C149" s="195">
        <v>0</v>
      </c>
      <c r="D149" s="196" t="s">
        <v>282</v>
      </c>
      <c r="E149" s="196" t="s">
        <v>319</v>
      </c>
      <c r="F149" s="195" t="s">
        <v>408</v>
      </c>
      <c r="G149" s="195" t="s">
        <v>434</v>
      </c>
    </row>
    <row r="150" spans="1:7">
      <c r="A150" s="194" t="s">
        <v>494</v>
      </c>
      <c r="B150" s="195">
        <v>-363</v>
      </c>
      <c r="C150" s="195">
        <v>0</v>
      </c>
      <c r="D150" s="196" t="s">
        <v>282</v>
      </c>
      <c r="E150" s="196" t="s">
        <v>319</v>
      </c>
      <c r="F150" s="195" t="s">
        <v>393</v>
      </c>
      <c r="G150" s="195" t="s">
        <v>434</v>
      </c>
    </row>
    <row r="151" spans="1:7">
      <c r="A151" s="194" t="s">
        <v>495</v>
      </c>
      <c r="B151" s="195">
        <v>120</v>
      </c>
      <c r="C151" s="195">
        <v>0</v>
      </c>
      <c r="D151" s="196" t="s">
        <v>282</v>
      </c>
      <c r="E151" s="196" t="s">
        <v>319</v>
      </c>
      <c r="F151" s="195" t="s">
        <v>408</v>
      </c>
      <c r="G151" s="195" t="s">
        <v>434</v>
      </c>
    </row>
    <row r="152" spans="1:7">
      <c r="A152" s="194" t="s">
        <v>495</v>
      </c>
      <c r="B152" s="195">
        <v>-120</v>
      </c>
      <c r="C152" s="195">
        <v>0</v>
      </c>
      <c r="D152" s="196" t="s">
        <v>282</v>
      </c>
      <c r="E152" s="196" t="s">
        <v>319</v>
      </c>
      <c r="F152" s="195" t="s">
        <v>393</v>
      </c>
      <c r="G152" s="195" t="s">
        <v>434</v>
      </c>
    </row>
    <row r="153" spans="1:7">
      <c r="A153" s="194" t="s">
        <v>496</v>
      </c>
      <c r="B153" s="195">
        <v>93</v>
      </c>
      <c r="C153" s="195">
        <v>0</v>
      </c>
      <c r="D153" s="196" t="s">
        <v>282</v>
      </c>
      <c r="E153" s="196" t="s">
        <v>319</v>
      </c>
      <c r="F153" s="195" t="s">
        <v>394</v>
      </c>
      <c r="G153" s="195" t="s">
        <v>434</v>
      </c>
    </row>
    <row r="154" spans="1:7">
      <c r="A154" s="194" t="s">
        <v>496</v>
      </c>
      <c r="B154" s="195">
        <v>-93</v>
      </c>
      <c r="C154" s="195">
        <v>0</v>
      </c>
      <c r="D154" s="196" t="s">
        <v>282</v>
      </c>
      <c r="E154" s="196" t="s">
        <v>319</v>
      </c>
      <c r="F154" s="195" t="s">
        <v>408</v>
      </c>
      <c r="G154" s="195" t="s">
        <v>434</v>
      </c>
    </row>
    <row r="155" spans="1:7">
      <c r="A155" s="194" t="s">
        <v>497</v>
      </c>
      <c r="B155" s="195">
        <v>-147</v>
      </c>
      <c r="C155" s="195">
        <v>0</v>
      </c>
      <c r="D155" s="196" t="s">
        <v>282</v>
      </c>
      <c r="E155" s="196" t="s">
        <v>319</v>
      </c>
      <c r="F155" s="195" t="s">
        <v>394</v>
      </c>
      <c r="G155" s="195" t="s">
        <v>434</v>
      </c>
    </row>
    <row r="156" spans="1:7">
      <c r="A156" s="194" t="s">
        <v>497</v>
      </c>
      <c r="B156" s="195">
        <v>-214</v>
      </c>
      <c r="C156" s="195">
        <v>0</v>
      </c>
      <c r="D156" s="196" t="s">
        <v>282</v>
      </c>
      <c r="E156" s="196" t="s">
        <v>319</v>
      </c>
      <c r="F156" s="195" t="s">
        <v>408</v>
      </c>
      <c r="G156" s="195" t="s">
        <v>434</v>
      </c>
    </row>
    <row r="157" spans="1:7">
      <c r="A157" s="194" t="s">
        <v>497</v>
      </c>
      <c r="B157" s="195">
        <v>361</v>
      </c>
      <c r="C157" s="195">
        <v>0</v>
      </c>
      <c r="D157" s="196" t="s">
        <v>282</v>
      </c>
      <c r="E157" s="196" t="s">
        <v>319</v>
      </c>
      <c r="F157" s="195" t="s">
        <v>393</v>
      </c>
      <c r="G157" s="195" t="s">
        <v>434</v>
      </c>
    </row>
    <row r="158" spans="1:7">
      <c r="A158" s="194" t="s">
        <v>498</v>
      </c>
      <c r="B158" s="195">
        <v>-93</v>
      </c>
      <c r="C158" s="195">
        <v>0</v>
      </c>
      <c r="D158" s="196" t="s">
        <v>282</v>
      </c>
      <c r="E158" s="196" t="s">
        <v>319</v>
      </c>
      <c r="F158" s="195" t="s">
        <v>394</v>
      </c>
      <c r="G158" s="195" t="s">
        <v>434</v>
      </c>
    </row>
    <row r="159" spans="1:7">
      <c r="A159" s="194" t="s">
        <v>498</v>
      </c>
      <c r="B159" s="195">
        <v>93</v>
      </c>
      <c r="C159" s="195">
        <v>0</v>
      </c>
      <c r="D159" s="196" t="s">
        <v>282</v>
      </c>
      <c r="E159" s="196" t="s">
        <v>319</v>
      </c>
      <c r="F159" s="195" t="s">
        <v>408</v>
      </c>
      <c r="G159" s="195" t="s">
        <v>434</v>
      </c>
    </row>
    <row r="160" spans="1:7">
      <c r="A160" s="194" t="s">
        <v>499</v>
      </c>
      <c r="B160" s="195">
        <v>-65</v>
      </c>
      <c r="C160" s="195">
        <v>0</v>
      </c>
      <c r="D160" s="196" t="s">
        <v>282</v>
      </c>
      <c r="E160" s="196" t="s">
        <v>317</v>
      </c>
      <c r="F160" s="195" t="s">
        <v>394</v>
      </c>
      <c r="G160" s="195" t="s">
        <v>434</v>
      </c>
    </row>
    <row r="161" spans="1:7">
      <c r="A161" s="194" t="s">
        <v>499</v>
      </c>
      <c r="B161" s="195">
        <v>-12633</v>
      </c>
      <c r="C161" s="195">
        <v>0</v>
      </c>
      <c r="D161" s="196" t="s">
        <v>282</v>
      </c>
      <c r="E161" s="196" t="s">
        <v>317</v>
      </c>
      <c r="F161" s="195" t="s">
        <v>445</v>
      </c>
      <c r="G161" s="195" t="s">
        <v>434</v>
      </c>
    </row>
    <row r="162" spans="1:7">
      <c r="A162" s="194" t="s">
        <v>499</v>
      </c>
      <c r="B162" s="195">
        <v>4718</v>
      </c>
      <c r="C162" s="195">
        <v>0</v>
      </c>
      <c r="D162" s="196" t="s">
        <v>282</v>
      </c>
      <c r="E162" s="196" t="s">
        <v>317</v>
      </c>
      <c r="F162" s="195" t="s">
        <v>397</v>
      </c>
      <c r="G162" s="195" t="s">
        <v>434</v>
      </c>
    </row>
    <row r="163" spans="1:7">
      <c r="A163" s="194" t="s">
        <v>499</v>
      </c>
      <c r="B163" s="195">
        <v>7980</v>
      </c>
      <c r="C163" s="195">
        <v>0</v>
      </c>
      <c r="D163" s="196" t="s">
        <v>282</v>
      </c>
      <c r="E163" s="196" t="s">
        <v>317</v>
      </c>
      <c r="F163" s="195" t="s">
        <v>393</v>
      </c>
      <c r="G163" s="195" t="s">
        <v>434</v>
      </c>
    </row>
    <row r="164" spans="1:7">
      <c r="A164" s="194" t="s">
        <v>500</v>
      </c>
      <c r="B164" s="195">
        <v>8979</v>
      </c>
      <c r="C164" s="195">
        <v>0</v>
      </c>
      <c r="D164" s="196" t="s">
        <v>282</v>
      </c>
      <c r="E164" s="196" t="s">
        <v>317</v>
      </c>
      <c r="F164" s="195" t="s">
        <v>445</v>
      </c>
      <c r="G164" s="195" t="s">
        <v>434</v>
      </c>
    </row>
    <row r="165" spans="1:7">
      <c r="A165" s="194" t="s">
        <v>500</v>
      </c>
      <c r="B165" s="195">
        <v>-8979</v>
      </c>
      <c r="C165" s="195">
        <v>0</v>
      </c>
      <c r="D165" s="196" t="s">
        <v>282</v>
      </c>
      <c r="E165" s="196" t="s">
        <v>317</v>
      </c>
      <c r="F165" s="195" t="s">
        <v>393</v>
      </c>
      <c r="G165" s="195" t="s">
        <v>434</v>
      </c>
    </row>
    <row r="166" spans="1:7">
      <c r="A166" s="194" t="s">
        <v>501</v>
      </c>
      <c r="B166" s="195">
        <v>-3055</v>
      </c>
      <c r="C166" s="195">
        <v>0</v>
      </c>
      <c r="D166" s="196" t="s">
        <v>282</v>
      </c>
      <c r="E166" s="196" t="s">
        <v>317</v>
      </c>
      <c r="F166" s="195" t="s">
        <v>394</v>
      </c>
      <c r="G166" s="195" t="s">
        <v>434</v>
      </c>
    </row>
    <row r="167" spans="1:7">
      <c r="A167" s="194" t="s">
        <v>501</v>
      </c>
      <c r="B167" s="195">
        <v>-99</v>
      </c>
      <c r="C167" s="195">
        <v>0</v>
      </c>
      <c r="D167" s="196" t="s">
        <v>282</v>
      </c>
      <c r="E167" s="196" t="s">
        <v>317</v>
      </c>
      <c r="F167" s="195" t="s">
        <v>393</v>
      </c>
      <c r="G167" s="195" t="s">
        <v>434</v>
      </c>
    </row>
    <row r="168" spans="1:7">
      <c r="A168" s="194" t="s">
        <v>501</v>
      </c>
      <c r="B168" s="195">
        <v>3154</v>
      </c>
      <c r="C168" s="195">
        <v>0</v>
      </c>
      <c r="D168" s="196" t="s">
        <v>282</v>
      </c>
      <c r="E168" s="196" t="s">
        <v>317</v>
      </c>
      <c r="F168" s="195" t="s">
        <v>403</v>
      </c>
      <c r="G168" s="195" t="s">
        <v>434</v>
      </c>
    </row>
    <row r="169" spans="1:7" hidden="1">
      <c r="A169" s="194" t="s">
        <v>502</v>
      </c>
      <c r="B169" s="195">
        <v>-207130</v>
      </c>
      <c r="C169" s="195">
        <v>0</v>
      </c>
      <c r="D169" s="196" t="s">
        <v>437</v>
      </c>
      <c r="E169" s="196" t="s">
        <v>320</v>
      </c>
      <c r="F169" s="195" t="s">
        <v>394</v>
      </c>
      <c r="G169" s="195" t="s">
        <v>434</v>
      </c>
    </row>
    <row r="170" spans="1:7" hidden="1">
      <c r="A170" s="194" t="s">
        <v>502</v>
      </c>
      <c r="B170" s="195">
        <v>207130</v>
      </c>
      <c r="C170" s="195">
        <v>0</v>
      </c>
      <c r="D170" s="196" t="s">
        <v>437</v>
      </c>
      <c r="E170" s="196" t="s">
        <v>320</v>
      </c>
      <c r="F170" s="195" t="s">
        <v>402</v>
      </c>
      <c r="G170" s="195" t="s">
        <v>434</v>
      </c>
    </row>
    <row r="171" spans="1:7" hidden="1">
      <c r="A171" s="194" t="s">
        <v>502</v>
      </c>
      <c r="B171" s="195">
        <v>15270</v>
      </c>
      <c r="C171" s="195">
        <v>0</v>
      </c>
      <c r="D171" s="196" t="s">
        <v>442</v>
      </c>
      <c r="E171" s="196" t="s">
        <v>320</v>
      </c>
      <c r="F171" s="195" t="s">
        <v>394</v>
      </c>
      <c r="G171" s="195" t="s">
        <v>434</v>
      </c>
    </row>
    <row r="172" spans="1:7" hidden="1">
      <c r="A172" s="194" t="s">
        <v>148</v>
      </c>
      <c r="B172" s="195">
        <v>-11245</v>
      </c>
      <c r="C172" s="195">
        <v>0</v>
      </c>
      <c r="D172" s="196" t="s">
        <v>283</v>
      </c>
      <c r="E172" s="196" t="s">
        <v>320</v>
      </c>
      <c r="F172" s="195" t="s">
        <v>394</v>
      </c>
      <c r="G172" s="195" t="s">
        <v>434</v>
      </c>
    </row>
    <row r="173" spans="1:7" hidden="1">
      <c r="A173" s="194" t="s">
        <v>148</v>
      </c>
      <c r="B173" s="195">
        <v>11245</v>
      </c>
      <c r="C173" s="195">
        <v>0</v>
      </c>
      <c r="D173" s="196" t="s">
        <v>283</v>
      </c>
      <c r="E173" s="196" t="s">
        <v>320</v>
      </c>
      <c r="F173" s="195" t="s">
        <v>441</v>
      </c>
      <c r="G173" s="195" t="s">
        <v>434</v>
      </c>
    </row>
    <row r="174" spans="1:7">
      <c r="A174" s="194" t="s">
        <v>148</v>
      </c>
      <c r="B174" s="195">
        <v>11523</v>
      </c>
      <c r="C174" s="195">
        <v>0</v>
      </c>
      <c r="D174" s="196" t="s">
        <v>282</v>
      </c>
      <c r="E174" s="196" t="s">
        <v>320</v>
      </c>
      <c r="F174" s="195" t="s">
        <v>394</v>
      </c>
      <c r="G174" s="195" t="s">
        <v>434</v>
      </c>
    </row>
    <row r="175" spans="1:7">
      <c r="A175" s="194" t="s">
        <v>148</v>
      </c>
      <c r="B175" s="195">
        <v>-278</v>
      </c>
      <c r="C175" s="195">
        <v>0</v>
      </c>
      <c r="D175" s="196" t="s">
        <v>282</v>
      </c>
      <c r="E175" s="196" t="s">
        <v>320</v>
      </c>
      <c r="F175" s="195" t="s">
        <v>413</v>
      </c>
      <c r="G175" s="195" t="s">
        <v>434</v>
      </c>
    </row>
    <row r="176" spans="1:7">
      <c r="A176" s="194" t="s">
        <v>148</v>
      </c>
      <c r="B176" s="195">
        <v>-11245</v>
      </c>
      <c r="C176" s="195">
        <v>0</v>
      </c>
      <c r="D176" s="196" t="s">
        <v>282</v>
      </c>
      <c r="E176" s="196" t="s">
        <v>320</v>
      </c>
      <c r="F176" s="195" t="s">
        <v>441</v>
      </c>
      <c r="G176" s="195" t="s">
        <v>434</v>
      </c>
    </row>
    <row r="177" spans="1:7" hidden="1">
      <c r="A177" s="194" t="s">
        <v>503</v>
      </c>
      <c r="B177" s="195">
        <v>6192</v>
      </c>
      <c r="C177" s="195">
        <v>0</v>
      </c>
      <c r="D177" s="196" t="s">
        <v>442</v>
      </c>
      <c r="E177" s="196" t="s">
        <v>320</v>
      </c>
      <c r="F177" s="195" t="s">
        <v>394</v>
      </c>
      <c r="G177" s="195" t="s">
        <v>434</v>
      </c>
    </row>
    <row r="178" spans="1:7" hidden="1">
      <c r="A178" s="194" t="s">
        <v>503</v>
      </c>
      <c r="B178" s="195">
        <v>-5341</v>
      </c>
      <c r="C178" s="195">
        <v>0</v>
      </c>
      <c r="D178" s="196" t="s">
        <v>442</v>
      </c>
      <c r="E178" s="196" t="s">
        <v>320</v>
      </c>
      <c r="F178" s="195" t="s">
        <v>409</v>
      </c>
      <c r="G178" s="195" t="s">
        <v>434</v>
      </c>
    </row>
    <row r="179" spans="1:7" hidden="1">
      <c r="A179" s="194" t="s">
        <v>504</v>
      </c>
      <c r="B179" s="195">
        <v>-12040</v>
      </c>
      <c r="C179" s="195">
        <v>0</v>
      </c>
      <c r="D179" s="196" t="s">
        <v>440</v>
      </c>
      <c r="E179" s="196" t="s">
        <v>439</v>
      </c>
      <c r="F179" s="195" t="s">
        <v>394</v>
      </c>
      <c r="G179" s="195" t="s">
        <v>434</v>
      </c>
    </row>
    <row r="180" spans="1:7" hidden="1">
      <c r="A180" s="194" t="s">
        <v>505</v>
      </c>
      <c r="B180" s="195">
        <v>17369</v>
      </c>
      <c r="C180" s="195">
        <v>0</v>
      </c>
      <c r="D180" s="196" t="s">
        <v>283</v>
      </c>
      <c r="E180" s="196" t="s">
        <v>320</v>
      </c>
      <c r="F180" s="195" t="s">
        <v>394</v>
      </c>
      <c r="G180" s="195" t="s">
        <v>434</v>
      </c>
    </row>
    <row r="181" spans="1:7" hidden="1">
      <c r="A181" s="194" t="s">
        <v>505</v>
      </c>
      <c r="B181" s="195">
        <v>-17369</v>
      </c>
      <c r="C181" s="195">
        <v>0</v>
      </c>
      <c r="D181" s="196" t="s">
        <v>283</v>
      </c>
      <c r="E181" s="196" t="s">
        <v>320</v>
      </c>
      <c r="F181" s="195" t="s">
        <v>441</v>
      </c>
      <c r="G181" s="195" t="s">
        <v>434</v>
      </c>
    </row>
    <row r="182" spans="1:7">
      <c r="A182" s="194" t="s">
        <v>505</v>
      </c>
      <c r="B182" s="195">
        <v>-43768</v>
      </c>
      <c r="C182" s="195">
        <v>0</v>
      </c>
      <c r="D182" s="196" t="s">
        <v>282</v>
      </c>
      <c r="E182" s="196" t="s">
        <v>320</v>
      </c>
      <c r="F182" s="195" t="s">
        <v>394</v>
      </c>
      <c r="G182" s="195" t="s">
        <v>434</v>
      </c>
    </row>
    <row r="183" spans="1:7">
      <c r="A183" s="194" t="s">
        <v>505</v>
      </c>
      <c r="B183" s="195">
        <v>26399</v>
      </c>
      <c r="C183" s="195">
        <v>0</v>
      </c>
      <c r="D183" s="196" t="s">
        <v>282</v>
      </c>
      <c r="E183" s="196" t="s">
        <v>320</v>
      </c>
      <c r="F183" s="195" t="s">
        <v>393</v>
      </c>
      <c r="G183" s="195" t="s">
        <v>434</v>
      </c>
    </row>
    <row r="184" spans="1:7">
      <c r="A184" s="194" t="s">
        <v>505</v>
      </c>
      <c r="B184" s="195">
        <v>17369</v>
      </c>
      <c r="C184" s="195">
        <v>0</v>
      </c>
      <c r="D184" s="196" t="s">
        <v>282</v>
      </c>
      <c r="E184" s="196" t="s">
        <v>320</v>
      </c>
      <c r="F184" s="195" t="s">
        <v>441</v>
      </c>
      <c r="G184" s="195" t="s">
        <v>434</v>
      </c>
    </row>
    <row r="185" spans="1:7">
      <c r="A185" s="194" t="s">
        <v>506</v>
      </c>
      <c r="B185" s="195">
        <v>-4021</v>
      </c>
      <c r="C185" s="195">
        <v>0</v>
      </c>
      <c r="D185" s="196" t="s">
        <v>282</v>
      </c>
      <c r="E185" s="196" t="s">
        <v>317</v>
      </c>
      <c r="F185" s="195" t="s">
        <v>394</v>
      </c>
      <c r="G185" s="195" t="s">
        <v>434</v>
      </c>
    </row>
    <row r="186" spans="1:7">
      <c r="A186" s="194" t="s">
        <v>506</v>
      </c>
      <c r="B186" s="195">
        <v>1320</v>
      </c>
      <c r="C186" s="195">
        <v>0</v>
      </c>
      <c r="D186" s="196" t="s">
        <v>282</v>
      </c>
      <c r="E186" s="196" t="s">
        <v>317</v>
      </c>
      <c r="F186" s="195" t="s">
        <v>445</v>
      </c>
      <c r="G186" s="195" t="s">
        <v>434</v>
      </c>
    </row>
    <row r="187" spans="1:7">
      <c r="A187" s="194" t="s">
        <v>506</v>
      </c>
      <c r="B187" s="195">
        <v>2701</v>
      </c>
      <c r="C187" s="195">
        <v>0</v>
      </c>
      <c r="D187" s="196" t="s">
        <v>282</v>
      </c>
      <c r="E187" s="196" t="s">
        <v>317</v>
      </c>
      <c r="F187" s="195" t="s">
        <v>403</v>
      </c>
      <c r="G187" s="195" t="s">
        <v>434</v>
      </c>
    </row>
    <row r="188" spans="1:7" hidden="1">
      <c r="A188" s="194" t="s">
        <v>507</v>
      </c>
      <c r="B188" s="195">
        <v>19119</v>
      </c>
      <c r="C188" s="195">
        <v>0</v>
      </c>
      <c r="D188" s="196" t="s">
        <v>442</v>
      </c>
      <c r="E188" s="196" t="s">
        <v>39</v>
      </c>
      <c r="F188" s="195" t="s">
        <v>394</v>
      </c>
      <c r="G188" s="195" t="s">
        <v>434</v>
      </c>
    </row>
    <row r="189" spans="1:7" hidden="1">
      <c r="A189" s="194" t="s">
        <v>358</v>
      </c>
      <c r="B189" s="195">
        <v>71</v>
      </c>
      <c r="C189" s="195">
        <v>0</v>
      </c>
      <c r="D189" s="196" t="s">
        <v>283</v>
      </c>
      <c r="E189" s="196" t="s">
        <v>322</v>
      </c>
      <c r="F189" s="195" t="s">
        <v>394</v>
      </c>
      <c r="G189" s="195" t="s">
        <v>434</v>
      </c>
    </row>
    <row r="190" spans="1:7" hidden="1">
      <c r="A190" s="194" t="s">
        <v>358</v>
      </c>
      <c r="B190" s="195">
        <v>-71</v>
      </c>
      <c r="C190" s="195">
        <v>0</v>
      </c>
      <c r="D190" s="196" t="s">
        <v>283</v>
      </c>
      <c r="E190" s="196" t="s">
        <v>322</v>
      </c>
      <c r="F190" s="195" t="s">
        <v>409</v>
      </c>
      <c r="G190" s="195" t="s">
        <v>434</v>
      </c>
    </row>
    <row r="191" spans="1:7" hidden="1">
      <c r="A191" s="194" t="s">
        <v>358</v>
      </c>
      <c r="B191" s="195">
        <v>-26</v>
      </c>
      <c r="C191" s="195">
        <v>0</v>
      </c>
      <c r="D191" s="196" t="s">
        <v>437</v>
      </c>
      <c r="E191" s="196" t="s">
        <v>322</v>
      </c>
      <c r="F191" s="195" t="s">
        <v>394</v>
      </c>
      <c r="G191" s="195" t="s">
        <v>434</v>
      </c>
    </row>
    <row r="192" spans="1:7" hidden="1">
      <c r="A192" s="194" t="s">
        <v>508</v>
      </c>
      <c r="B192" s="195">
        <v>-60</v>
      </c>
      <c r="C192" s="195">
        <v>0</v>
      </c>
      <c r="D192" s="196" t="s">
        <v>283</v>
      </c>
      <c r="E192" s="196" t="s">
        <v>315</v>
      </c>
      <c r="F192" s="195" t="s">
        <v>394</v>
      </c>
      <c r="G192" s="195" t="s">
        <v>434</v>
      </c>
    </row>
    <row r="193" spans="1:7" hidden="1">
      <c r="A193" s="194" t="s">
        <v>508</v>
      </c>
      <c r="B193" s="195">
        <v>-93</v>
      </c>
      <c r="C193" s="195">
        <v>0</v>
      </c>
      <c r="D193" s="196" t="s">
        <v>437</v>
      </c>
      <c r="E193" s="196" t="s">
        <v>315</v>
      </c>
      <c r="F193" s="195" t="s">
        <v>394</v>
      </c>
      <c r="G193" s="195" t="s">
        <v>434</v>
      </c>
    </row>
    <row r="194" spans="1:7">
      <c r="A194" s="194" t="s">
        <v>508</v>
      </c>
      <c r="B194" s="195">
        <v>-60</v>
      </c>
      <c r="C194" s="195">
        <v>0</v>
      </c>
      <c r="D194" s="196" t="s">
        <v>282</v>
      </c>
      <c r="E194" s="196" t="s">
        <v>315</v>
      </c>
      <c r="F194" s="195" t="s">
        <v>394</v>
      </c>
      <c r="G194" s="195" t="s">
        <v>434</v>
      </c>
    </row>
    <row r="195" spans="1:7" hidden="1">
      <c r="A195" s="194" t="s">
        <v>509</v>
      </c>
      <c r="B195" s="195">
        <v>60</v>
      </c>
      <c r="C195" s="195">
        <v>0</v>
      </c>
      <c r="D195" s="196" t="s">
        <v>283</v>
      </c>
      <c r="E195" s="196" t="s">
        <v>315</v>
      </c>
      <c r="F195" s="195" t="s">
        <v>394</v>
      </c>
      <c r="G195" s="195" t="s">
        <v>434</v>
      </c>
    </row>
    <row r="196" spans="1:7" hidden="1">
      <c r="A196" s="194" t="s">
        <v>509</v>
      </c>
      <c r="B196" s="195">
        <v>93</v>
      </c>
      <c r="C196" s="195">
        <v>0</v>
      </c>
      <c r="D196" s="196" t="s">
        <v>437</v>
      </c>
      <c r="E196" s="196" t="s">
        <v>315</v>
      </c>
      <c r="F196" s="195" t="s">
        <v>394</v>
      </c>
      <c r="G196" s="195" t="s">
        <v>434</v>
      </c>
    </row>
    <row r="197" spans="1:7">
      <c r="A197" s="194" t="s">
        <v>509</v>
      </c>
      <c r="B197" s="195">
        <v>60</v>
      </c>
      <c r="C197" s="195">
        <v>0</v>
      </c>
      <c r="D197" s="196" t="s">
        <v>282</v>
      </c>
      <c r="E197" s="196" t="s">
        <v>315</v>
      </c>
      <c r="F197" s="195" t="s">
        <v>394</v>
      </c>
      <c r="G197" s="195" t="s">
        <v>434</v>
      </c>
    </row>
    <row r="198" spans="1:7" hidden="1">
      <c r="A198" s="194" t="s">
        <v>510</v>
      </c>
      <c r="B198" s="195">
        <v>20853</v>
      </c>
      <c r="C198" s="195">
        <v>0</v>
      </c>
      <c r="D198" s="196" t="s">
        <v>283</v>
      </c>
      <c r="E198" s="196" t="s">
        <v>320</v>
      </c>
      <c r="F198" s="195" t="s">
        <v>394</v>
      </c>
      <c r="G198" s="195" t="s">
        <v>434</v>
      </c>
    </row>
    <row r="199" spans="1:7">
      <c r="A199" s="194" t="s">
        <v>510</v>
      </c>
      <c r="B199" s="195">
        <v>-20853</v>
      </c>
      <c r="C199" s="195">
        <v>0</v>
      </c>
      <c r="D199" s="196" t="s">
        <v>282</v>
      </c>
      <c r="E199" s="196" t="s">
        <v>320</v>
      </c>
      <c r="F199" s="195" t="s">
        <v>394</v>
      </c>
      <c r="G199" s="195" t="s">
        <v>434</v>
      </c>
    </row>
    <row r="200" spans="1:7">
      <c r="A200" s="194" t="s">
        <v>510</v>
      </c>
      <c r="B200" s="195">
        <v>41706</v>
      </c>
      <c r="C200" s="195">
        <v>0</v>
      </c>
      <c r="D200" s="196" t="s">
        <v>282</v>
      </c>
      <c r="E200" s="196" t="s">
        <v>320</v>
      </c>
      <c r="F200" s="195" t="s">
        <v>393</v>
      </c>
      <c r="G200" s="195" t="s">
        <v>434</v>
      </c>
    </row>
    <row r="201" spans="1:7" hidden="1">
      <c r="A201" s="194" t="s">
        <v>511</v>
      </c>
      <c r="B201" s="195">
        <v>188</v>
      </c>
      <c r="C201" s="195">
        <v>0</v>
      </c>
      <c r="D201" s="196" t="s">
        <v>283</v>
      </c>
      <c r="E201" s="196" t="s">
        <v>324</v>
      </c>
      <c r="F201" s="195" t="s">
        <v>394</v>
      </c>
      <c r="G201" s="195" t="s">
        <v>434</v>
      </c>
    </row>
    <row r="202" spans="1:7">
      <c r="A202" s="194" t="s">
        <v>511</v>
      </c>
      <c r="B202" s="195">
        <v>-188</v>
      </c>
      <c r="C202" s="195">
        <v>0</v>
      </c>
      <c r="D202" s="196" t="s">
        <v>282</v>
      </c>
      <c r="E202" s="196" t="s">
        <v>324</v>
      </c>
      <c r="F202" s="195" t="s">
        <v>394</v>
      </c>
      <c r="G202" s="195" t="s">
        <v>434</v>
      </c>
    </row>
    <row r="203" spans="1:7">
      <c r="A203" s="194" t="s">
        <v>511</v>
      </c>
      <c r="B203" s="195">
        <v>375</v>
      </c>
      <c r="C203" s="195">
        <v>0</v>
      </c>
      <c r="D203" s="196" t="s">
        <v>282</v>
      </c>
      <c r="E203" s="196" t="s">
        <v>324</v>
      </c>
      <c r="F203" s="195" t="s">
        <v>408</v>
      </c>
      <c r="G203" s="195" t="s">
        <v>434</v>
      </c>
    </row>
    <row r="204" spans="1:7" hidden="1">
      <c r="A204" s="194" t="s">
        <v>512</v>
      </c>
      <c r="B204" s="195">
        <v>464</v>
      </c>
      <c r="C204" s="195">
        <v>0</v>
      </c>
      <c r="D204" s="196" t="s">
        <v>283</v>
      </c>
      <c r="E204" s="196" t="s">
        <v>324</v>
      </c>
      <c r="F204" s="195" t="s">
        <v>394</v>
      </c>
      <c r="G204" s="195" t="s">
        <v>434</v>
      </c>
    </row>
    <row r="205" spans="1:7">
      <c r="A205" s="194" t="s">
        <v>512</v>
      </c>
      <c r="B205" s="195">
        <v>-464</v>
      </c>
      <c r="C205" s="195">
        <v>0</v>
      </c>
      <c r="D205" s="196" t="s">
        <v>282</v>
      </c>
      <c r="E205" s="196" t="s">
        <v>324</v>
      </c>
      <c r="F205" s="195" t="s">
        <v>394</v>
      </c>
      <c r="G205" s="195" t="s">
        <v>434</v>
      </c>
    </row>
    <row r="206" spans="1:7">
      <c r="A206" s="194" t="s">
        <v>512</v>
      </c>
      <c r="B206" s="195">
        <v>927</v>
      </c>
      <c r="C206" s="195">
        <v>0</v>
      </c>
      <c r="D206" s="196" t="s">
        <v>282</v>
      </c>
      <c r="E206" s="196" t="s">
        <v>324</v>
      </c>
      <c r="F206" s="195" t="s">
        <v>408</v>
      </c>
      <c r="G206" s="195" t="s">
        <v>434</v>
      </c>
    </row>
    <row r="207" spans="1:7">
      <c r="A207" s="194" t="s">
        <v>513</v>
      </c>
      <c r="B207" s="195">
        <v>75568</v>
      </c>
      <c r="C207" s="195">
        <v>0</v>
      </c>
      <c r="D207" s="196" t="s">
        <v>282</v>
      </c>
      <c r="E207" s="196" t="s">
        <v>320</v>
      </c>
      <c r="F207" s="195" t="s">
        <v>394</v>
      </c>
      <c r="G207" s="195" t="s">
        <v>434</v>
      </c>
    </row>
    <row r="208" spans="1:7">
      <c r="A208" s="194" t="s">
        <v>513</v>
      </c>
      <c r="B208" s="195">
        <v>-75568</v>
      </c>
      <c r="C208" s="195">
        <v>0</v>
      </c>
      <c r="D208" s="196" t="s">
        <v>282</v>
      </c>
      <c r="E208" s="196" t="s">
        <v>320</v>
      </c>
      <c r="F208" s="195" t="s">
        <v>393</v>
      </c>
      <c r="G208" s="195" t="s">
        <v>434</v>
      </c>
    </row>
    <row r="209" spans="1:7" hidden="1">
      <c r="A209" s="194" t="s">
        <v>514</v>
      </c>
      <c r="B209" s="195">
        <v>-2306480</v>
      </c>
      <c r="C209" s="195">
        <v>0</v>
      </c>
      <c r="D209" s="196" t="s">
        <v>440</v>
      </c>
      <c r="E209" s="196" t="s">
        <v>320</v>
      </c>
      <c r="F209" s="195" t="s">
        <v>394</v>
      </c>
      <c r="G209" s="195" t="s">
        <v>434</v>
      </c>
    </row>
    <row r="210" spans="1:7" hidden="1">
      <c r="A210" s="194" t="s">
        <v>514</v>
      </c>
      <c r="B210" s="195">
        <v>-48940</v>
      </c>
      <c r="C210" s="195">
        <v>0</v>
      </c>
      <c r="D210" s="196" t="s">
        <v>440</v>
      </c>
      <c r="E210" s="196" t="s">
        <v>320</v>
      </c>
      <c r="F210" s="195" t="s">
        <v>397</v>
      </c>
      <c r="G210" s="195" t="s">
        <v>434</v>
      </c>
    </row>
    <row r="211" spans="1:7" hidden="1">
      <c r="A211" s="194" t="s">
        <v>514</v>
      </c>
      <c r="B211" s="195">
        <v>-64000</v>
      </c>
      <c r="C211" s="195">
        <v>0</v>
      </c>
      <c r="D211" s="196" t="s">
        <v>440</v>
      </c>
      <c r="E211" s="196" t="s">
        <v>320</v>
      </c>
      <c r="F211" s="195" t="s">
        <v>410</v>
      </c>
      <c r="G211" s="195" t="s">
        <v>434</v>
      </c>
    </row>
    <row r="212" spans="1:7" hidden="1">
      <c r="A212" s="194" t="s">
        <v>514</v>
      </c>
      <c r="B212" s="195">
        <v>80000</v>
      </c>
      <c r="C212" s="195">
        <v>0</v>
      </c>
      <c r="D212" s="196" t="s">
        <v>440</v>
      </c>
      <c r="E212" s="196" t="s">
        <v>320</v>
      </c>
      <c r="F212" s="195" t="s">
        <v>441</v>
      </c>
      <c r="G212" s="195" t="s">
        <v>434</v>
      </c>
    </row>
    <row r="213" spans="1:7" hidden="1">
      <c r="A213" s="194" t="s">
        <v>514</v>
      </c>
      <c r="B213" s="195">
        <v>415000</v>
      </c>
      <c r="C213" s="195">
        <v>0</v>
      </c>
      <c r="D213" s="196" t="s">
        <v>440</v>
      </c>
      <c r="E213" s="196" t="s">
        <v>320</v>
      </c>
      <c r="F213" s="195" t="s">
        <v>402</v>
      </c>
      <c r="G213" s="195" t="s">
        <v>434</v>
      </c>
    </row>
    <row r="214" spans="1:7" hidden="1">
      <c r="A214" s="194" t="s">
        <v>514</v>
      </c>
      <c r="B214" s="195">
        <v>-70000</v>
      </c>
      <c r="C214" s="195">
        <v>0</v>
      </c>
      <c r="D214" s="196" t="s">
        <v>437</v>
      </c>
      <c r="E214" s="196" t="s">
        <v>320</v>
      </c>
      <c r="F214" s="195" t="s">
        <v>410</v>
      </c>
      <c r="G214" s="195" t="s">
        <v>434</v>
      </c>
    </row>
    <row r="215" spans="1:7" hidden="1">
      <c r="A215" s="194" t="s">
        <v>514</v>
      </c>
      <c r="B215" s="195">
        <v>-80000</v>
      </c>
      <c r="C215" s="195">
        <v>0</v>
      </c>
      <c r="D215" s="196" t="s">
        <v>437</v>
      </c>
      <c r="E215" s="196" t="s">
        <v>320</v>
      </c>
      <c r="F215" s="195" t="s">
        <v>441</v>
      </c>
      <c r="G215" s="195" t="s">
        <v>434</v>
      </c>
    </row>
    <row r="216" spans="1:7" hidden="1">
      <c r="A216" s="194" t="s">
        <v>514</v>
      </c>
      <c r="B216" s="195">
        <v>150000</v>
      </c>
      <c r="C216" s="195">
        <v>0</v>
      </c>
      <c r="D216" s="196" t="s">
        <v>437</v>
      </c>
      <c r="E216" s="196" t="s">
        <v>320</v>
      </c>
      <c r="F216" s="195" t="s">
        <v>402</v>
      </c>
      <c r="G216" s="195" t="s">
        <v>434</v>
      </c>
    </row>
    <row r="217" spans="1:7" hidden="1">
      <c r="A217" s="194" t="s">
        <v>514</v>
      </c>
      <c r="B217" s="195">
        <v>-66072</v>
      </c>
      <c r="C217" s="195">
        <v>0</v>
      </c>
      <c r="D217" s="196" t="s">
        <v>442</v>
      </c>
      <c r="E217" s="196" t="s">
        <v>320</v>
      </c>
      <c r="F217" s="195" t="s">
        <v>394</v>
      </c>
      <c r="G217" s="195" t="s">
        <v>434</v>
      </c>
    </row>
    <row r="218" spans="1:7">
      <c r="A218" s="194" t="s">
        <v>149</v>
      </c>
      <c r="B218" s="195">
        <v>-75425</v>
      </c>
      <c r="C218" s="195">
        <v>0</v>
      </c>
      <c r="D218" s="196" t="s">
        <v>282</v>
      </c>
      <c r="E218" s="196" t="s">
        <v>320</v>
      </c>
      <c r="F218" s="195" t="s">
        <v>394</v>
      </c>
      <c r="G218" s="195" t="s">
        <v>434</v>
      </c>
    </row>
    <row r="219" spans="1:7">
      <c r="A219" s="194" t="s">
        <v>149</v>
      </c>
      <c r="B219" s="195">
        <v>20837</v>
      </c>
      <c r="C219" s="195">
        <v>0</v>
      </c>
      <c r="D219" s="196" t="s">
        <v>282</v>
      </c>
      <c r="E219" s="196" t="s">
        <v>320</v>
      </c>
      <c r="F219" s="195" t="s">
        <v>445</v>
      </c>
      <c r="G219" s="195" t="s">
        <v>434</v>
      </c>
    </row>
    <row r="220" spans="1:7">
      <c r="A220" s="194" t="s">
        <v>149</v>
      </c>
      <c r="B220" s="195">
        <v>32171</v>
      </c>
      <c r="C220" s="195">
        <v>0</v>
      </c>
      <c r="D220" s="196" t="s">
        <v>282</v>
      </c>
      <c r="E220" s="196" t="s">
        <v>320</v>
      </c>
      <c r="F220" s="195" t="s">
        <v>393</v>
      </c>
      <c r="G220" s="195" t="s">
        <v>434</v>
      </c>
    </row>
    <row r="221" spans="1:7">
      <c r="A221" s="194" t="s">
        <v>149</v>
      </c>
      <c r="B221" s="195">
        <v>22417</v>
      </c>
      <c r="C221" s="195">
        <v>0</v>
      </c>
      <c r="D221" s="196" t="s">
        <v>282</v>
      </c>
      <c r="E221" s="196" t="s">
        <v>320</v>
      </c>
      <c r="F221" s="195" t="s">
        <v>403</v>
      </c>
      <c r="G221" s="195" t="s">
        <v>434</v>
      </c>
    </row>
    <row r="222" spans="1:7">
      <c r="A222" s="194" t="s">
        <v>515</v>
      </c>
      <c r="B222" s="195">
        <v>-324</v>
      </c>
      <c r="C222" s="195">
        <v>0</v>
      </c>
      <c r="D222" s="196" t="s">
        <v>282</v>
      </c>
      <c r="E222" s="196" t="s">
        <v>324</v>
      </c>
      <c r="F222" s="195" t="s">
        <v>394</v>
      </c>
      <c r="G222" s="195" t="s">
        <v>434</v>
      </c>
    </row>
    <row r="223" spans="1:7">
      <c r="A223" s="194" t="s">
        <v>515</v>
      </c>
      <c r="B223" s="195">
        <v>324</v>
      </c>
      <c r="C223" s="195">
        <v>0</v>
      </c>
      <c r="D223" s="196" t="s">
        <v>282</v>
      </c>
      <c r="E223" s="196" t="s">
        <v>324</v>
      </c>
      <c r="F223" s="195" t="s">
        <v>408</v>
      </c>
      <c r="G223" s="195" t="s">
        <v>434</v>
      </c>
    </row>
    <row r="224" spans="1:7">
      <c r="A224" s="194" t="s">
        <v>516</v>
      </c>
      <c r="B224" s="195">
        <v>1641</v>
      </c>
      <c r="C224" s="195">
        <v>0</v>
      </c>
      <c r="D224" s="196" t="s">
        <v>282</v>
      </c>
      <c r="E224" s="196" t="s">
        <v>317</v>
      </c>
      <c r="F224" s="195" t="s">
        <v>394</v>
      </c>
      <c r="G224" s="195" t="s">
        <v>434</v>
      </c>
    </row>
    <row r="225" spans="1:7">
      <c r="A225" s="194" t="s">
        <v>516</v>
      </c>
      <c r="B225" s="195">
        <v>-1641</v>
      </c>
      <c r="C225" s="195">
        <v>0</v>
      </c>
      <c r="D225" s="196" t="s">
        <v>282</v>
      </c>
      <c r="E225" s="196" t="s">
        <v>317</v>
      </c>
      <c r="F225" s="195" t="s">
        <v>393</v>
      </c>
      <c r="G225" s="195" t="s">
        <v>434</v>
      </c>
    </row>
    <row r="226" spans="1:7" hidden="1">
      <c r="A226" s="194" t="s">
        <v>45</v>
      </c>
      <c r="B226" s="195">
        <v>60860</v>
      </c>
      <c r="C226" s="195">
        <v>0</v>
      </c>
      <c r="D226" s="196" t="s">
        <v>437</v>
      </c>
      <c r="E226" s="196" t="s">
        <v>320</v>
      </c>
      <c r="F226" s="195" t="s">
        <v>394</v>
      </c>
      <c r="G226" s="195" t="s">
        <v>434</v>
      </c>
    </row>
    <row r="227" spans="1:7" hidden="1">
      <c r="A227" s="194" t="s">
        <v>45</v>
      </c>
      <c r="B227" s="195">
        <v>-60860</v>
      </c>
      <c r="C227" s="195">
        <v>0</v>
      </c>
      <c r="D227" s="196" t="s">
        <v>437</v>
      </c>
      <c r="E227" s="196" t="s">
        <v>320</v>
      </c>
      <c r="F227" s="195" t="s">
        <v>393</v>
      </c>
      <c r="G227" s="195" t="s">
        <v>434</v>
      </c>
    </row>
    <row r="228" spans="1:7" hidden="1">
      <c r="A228" s="194" t="s">
        <v>395</v>
      </c>
      <c r="B228" s="195">
        <v>1025</v>
      </c>
      <c r="C228" s="195">
        <v>0</v>
      </c>
      <c r="D228" s="196" t="s">
        <v>283</v>
      </c>
      <c r="E228" s="196" t="s">
        <v>517</v>
      </c>
      <c r="F228" s="195" t="s">
        <v>394</v>
      </c>
      <c r="G228" s="195" t="s">
        <v>434</v>
      </c>
    </row>
    <row r="229" spans="1:7">
      <c r="A229" s="194" t="s">
        <v>395</v>
      </c>
      <c r="B229" s="195">
        <v>883</v>
      </c>
      <c r="C229" s="195">
        <v>0</v>
      </c>
      <c r="D229" s="196" t="s">
        <v>282</v>
      </c>
      <c r="E229" s="196" t="s">
        <v>517</v>
      </c>
      <c r="F229" s="195" t="s">
        <v>394</v>
      </c>
      <c r="G229" s="195" t="s">
        <v>434</v>
      </c>
    </row>
    <row r="230" spans="1:7">
      <c r="A230" s="194" t="s">
        <v>395</v>
      </c>
      <c r="B230" s="195">
        <v>139</v>
      </c>
      <c r="C230" s="195">
        <v>0</v>
      </c>
      <c r="D230" s="196" t="s">
        <v>282</v>
      </c>
      <c r="E230" s="196" t="s">
        <v>517</v>
      </c>
      <c r="F230" s="195" t="s">
        <v>393</v>
      </c>
      <c r="G230" s="195" t="s">
        <v>434</v>
      </c>
    </row>
    <row r="231" spans="1:7" hidden="1">
      <c r="A231" s="194" t="s">
        <v>518</v>
      </c>
      <c r="B231" s="195">
        <v>-140000</v>
      </c>
      <c r="C231" s="195">
        <v>0</v>
      </c>
      <c r="D231" s="196" t="s">
        <v>440</v>
      </c>
      <c r="E231" s="196" t="s">
        <v>39</v>
      </c>
      <c r="F231" s="195" t="s">
        <v>394</v>
      </c>
      <c r="G231" s="195" t="s">
        <v>434</v>
      </c>
    </row>
    <row r="232" spans="1:7" hidden="1">
      <c r="A232" s="194" t="s">
        <v>518</v>
      </c>
      <c r="B232" s="195">
        <v>-16500</v>
      </c>
      <c r="C232" s="195">
        <v>0</v>
      </c>
      <c r="D232" s="196" t="s">
        <v>440</v>
      </c>
      <c r="E232" s="196" t="s">
        <v>39</v>
      </c>
      <c r="F232" s="195" t="s">
        <v>441</v>
      </c>
      <c r="G232" s="195" t="s">
        <v>434</v>
      </c>
    </row>
    <row r="233" spans="1:7" hidden="1">
      <c r="A233" s="194" t="s">
        <v>518</v>
      </c>
      <c r="B233" s="195">
        <v>210000</v>
      </c>
      <c r="C233" s="195">
        <v>0</v>
      </c>
      <c r="D233" s="196" t="s">
        <v>440</v>
      </c>
      <c r="E233" s="196" t="s">
        <v>39</v>
      </c>
      <c r="F233" s="195" t="s">
        <v>411</v>
      </c>
      <c r="G233" s="195" t="s">
        <v>434</v>
      </c>
    </row>
    <row r="234" spans="1:7" hidden="1">
      <c r="A234" s="194" t="s">
        <v>518</v>
      </c>
      <c r="B234" s="195">
        <v>-53500</v>
      </c>
      <c r="C234" s="195">
        <v>0</v>
      </c>
      <c r="D234" s="196" t="s">
        <v>440</v>
      </c>
      <c r="E234" s="196" t="s">
        <v>39</v>
      </c>
      <c r="F234" s="195" t="s">
        <v>402</v>
      </c>
      <c r="G234" s="195" t="s">
        <v>434</v>
      </c>
    </row>
    <row r="235" spans="1:7" hidden="1">
      <c r="A235" s="194" t="s">
        <v>519</v>
      </c>
      <c r="B235" s="195">
        <v>-16500</v>
      </c>
      <c r="C235" s="195">
        <v>0</v>
      </c>
      <c r="D235" s="196" t="s">
        <v>440</v>
      </c>
      <c r="E235" s="196" t="s">
        <v>39</v>
      </c>
      <c r="F235" s="195" t="s">
        <v>394</v>
      </c>
      <c r="G235" s="195" t="s">
        <v>434</v>
      </c>
    </row>
    <row r="236" spans="1:7" hidden="1">
      <c r="A236" s="194" t="s">
        <v>519</v>
      </c>
      <c r="B236" s="195">
        <v>16500</v>
      </c>
      <c r="C236" s="195">
        <v>0</v>
      </c>
      <c r="D236" s="196" t="s">
        <v>440</v>
      </c>
      <c r="E236" s="196" t="s">
        <v>39</v>
      </c>
      <c r="F236" s="195" t="s">
        <v>441</v>
      </c>
      <c r="G236" s="195" t="s">
        <v>434</v>
      </c>
    </row>
    <row r="237" spans="1:7">
      <c r="A237" s="194" t="s">
        <v>303</v>
      </c>
      <c r="B237" s="195">
        <v>-5405</v>
      </c>
      <c r="C237" s="195">
        <v>0</v>
      </c>
      <c r="D237" s="196" t="s">
        <v>282</v>
      </c>
      <c r="E237" s="196" t="s">
        <v>317</v>
      </c>
      <c r="F237" s="195" t="s">
        <v>394</v>
      </c>
      <c r="G237" s="195" t="s">
        <v>434</v>
      </c>
    </row>
    <row r="238" spans="1:7">
      <c r="A238" s="194" t="s">
        <v>303</v>
      </c>
      <c r="B238" s="195">
        <v>5656</v>
      </c>
      <c r="C238" s="195">
        <v>0</v>
      </c>
      <c r="D238" s="196" t="s">
        <v>282</v>
      </c>
      <c r="E238" s="196" t="s">
        <v>317</v>
      </c>
      <c r="F238" s="195" t="s">
        <v>445</v>
      </c>
      <c r="G238" s="195" t="s">
        <v>434</v>
      </c>
    </row>
    <row r="239" spans="1:7">
      <c r="A239" s="194" t="s">
        <v>303</v>
      </c>
      <c r="B239" s="195">
        <v>491</v>
      </c>
      <c r="C239" s="195">
        <v>0</v>
      </c>
      <c r="D239" s="196" t="s">
        <v>282</v>
      </c>
      <c r="E239" s="196" t="s">
        <v>317</v>
      </c>
      <c r="F239" s="195" t="s">
        <v>393</v>
      </c>
      <c r="G239" s="195" t="s">
        <v>434</v>
      </c>
    </row>
    <row r="240" spans="1:7">
      <c r="A240" s="194" t="s">
        <v>303</v>
      </c>
      <c r="B240" s="195">
        <v>-742</v>
      </c>
      <c r="C240" s="195">
        <v>0</v>
      </c>
      <c r="D240" s="196" t="s">
        <v>282</v>
      </c>
      <c r="E240" s="196" t="s">
        <v>317</v>
      </c>
      <c r="F240" s="195" t="s">
        <v>403</v>
      </c>
      <c r="G240" s="195" t="s">
        <v>434</v>
      </c>
    </row>
    <row r="241" spans="1:7" hidden="1">
      <c r="A241" s="194" t="s">
        <v>520</v>
      </c>
      <c r="B241" s="195">
        <v>460000</v>
      </c>
      <c r="C241" s="195">
        <v>0</v>
      </c>
      <c r="D241" s="196" t="s">
        <v>437</v>
      </c>
      <c r="E241" s="196" t="s">
        <v>320</v>
      </c>
      <c r="F241" s="195" t="s">
        <v>394</v>
      </c>
      <c r="G241" s="195" t="s">
        <v>434</v>
      </c>
    </row>
    <row r="242" spans="1:7" hidden="1">
      <c r="A242" s="194" t="s">
        <v>520</v>
      </c>
      <c r="B242" s="195">
        <v>-460000</v>
      </c>
      <c r="C242" s="195">
        <v>0</v>
      </c>
      <c r="D242" s="196" t="s">
        <v>437</v>
      </c>
      <c r="E242" s="196" t="s">
        <v>320</v>
      </c>
      <c r="F242" s="195" t="s">
        <v>393</v>
      </c>
      <c r="G242" s="195" t="s">
        <v>434</v>
      </c>
    </row>
    <row r="243" spans="1:7" hidden="1">
      <c r="A243" s="194" t="s">
        <v>521</v>
      </c>
      <c r="B243" s="195">
        <v>-14373</v>
      </c>
      <c r="C243" s="195">
        <v>0</v>
      </c>
      <c r="D243" s="196" t="s">
        <v>442</v>
      </c>
      <c r="E243" s="196" t="s">
        <v>522</v>
      </c>
      <c r="F243" s="195" t="s">
        <v>394</v>
      </c>
      <c r="G243" s="195" t="s">
        <v>434</v>
      </c>
    </row>
    <row r="244" spans="1:7" hidden="1">
      <c r="A244" s="194" t="s">
        <v>523</v>
      </c>
      <c r="B244" s="195">
        <v>100000</v>
      </c>
      <c r="C244" s="195">
        <v>0</v>
      </c>
      <c r="D244" s="196" t="s">
        <v>474</v>
      </c>
      <c r="E244" s="196" t="s">
        <v>320</v>
      </c>
      <c r="F244" s="195" t="s">
        <v>394</v>
      </c>
      <c r="G244" s="195" t="s">
        <v>434</v>
      </c>
    </row>
    <row r="245" spans="1:7" hidden="1">
      <c r="A245" s="194" t="s">
        <v>523</v>
      </c>
      <c r="B245" s="195">
        <v>-100000</v>
      </c>
      <c r="C245" s="195">
        <v>0</v>
      </c>
      <c r="D245" s="196" t="s">
        <v>474</v>
      </c>
      <c r="E245" s="196" t="s">
        <v>320</v>
      </c>
      <c r="F245" s="195" t="s">
        <v>402</v>
      </c>
      <c r="G245" s="195" t="s">
        <v>434</v>
      </c>
    </row>
    <row r="246" spans="1:7" hidden="1">
      <c r="A246" s="194" t="s">
        <v>89</v>
      </c>
      <c r="B246" s="195">
        <v>-4637</v>
      </c>
      <c r="C246" s="195">
        <v>0</v>
      </c>
      <c r="D246" s="196" t="s">
        <v>283</v>
      </c>
      <c r="E246" s="196" t="s">
        <v>320</v>
      </c>
      <c r="F246" s="195" t="s">
        <v>394</v>
      </c>
      <c r="G246" s="195" t="s">
        <v>434</v>
      </c>
    </row>
    <row r="247" spans="1:7" hidden="1">
      <c r="A247" s="194" t="s">
        <v>89</v>
      </c>
      <c r="B247" s="195">
        <v>4637</v>
      </c>
      <c r="C247" s="195">
        <v>0</v>
      </c>
      <c r="D247" s="196" t="s">
        <v>283</v>
      </c>
      <c r="E247" s="196" t="s">
        <v>320</v>
      </c>
      <c r="F247" s="195" t="s">
        <v>441</v>
      </c>
      <c r="G247" s="195" t="s">
        <v>434</v>
      </c>
    </row>
    <row r="248" spans="1:7">
      <c r="A248" s="194" t="s">
        <v>89</v>
      </c>
      <c r="B248" s="195">
        <v>-67638</v>
      </c>
      <c r="C248" s="195">
        <v>0</v>
      </c>
      <c r="D248" s="196" t="s">
        <v>282</v>
      </c>
      <c r="E248" s="196" t="s">
        <v>320</v>
      </c>
      <c r="F248" s="195" t="s">
        <v>394</v>
      </c>
      <c r="G248" s="195" t="s">
        <v>434</v>
      </c>
    </row>
    <row r="249" spans="1:7">
      <c r="A249" s="194" t="s">
        <v>89</v>
      </c>
      <c r="B249" s="195">
        <v>42563</v>
      </c>
      <c r="C249" s="195">
        <v>0</v>
      </c>
      <c r="D249" s="196" t="s">
        <v>282</v>
      </c>
      <c r="E249" s="196" t="s">
        <v>320</v>
      </c>
      <c r="F249" s="195" t="s">
        <v>393</v>
      </c>
      <c r="G249" s="195" t="s">
        <v>434</v>
      </c>
    </row>
    <row r="250" spans="1:7">
      <c r="A250" s="194" t="s">
        <v>89</v>
      </c>
      <c r="B250" s="195">
        <v>16211</v>
      </c>
      <c r="C250" s="195">
        <v>0</v>
      </c>
      <c r="D250" s="196" t="s">
        <v>282</v>
      </c>
      <c r="E250" s="196" t="s">
        <v>320</v>
      </c>
      <c r="F250" s="195" t="s">
        <v>413</v>
      </c>
      <c r="G250" s="195" t="s">
        <v>434</v>
      </c>
    </row>
    <row r="251" spans="1:7">
      <c r="A251" s="194" t="s">
        <v>89</v>
      </c>
      <c r="B251" s="195">
        <v>26229</v>
      </c>
      <c r="C251" s="195">
        <v>0</v>
      </c>
      <c r="D251" s="196" t="s">
        <v>282</v>
      </c>
      <c r="E251" s="196" t="s">
        <v>320</v>
      </c>
      <c r="F251" s="195" t="s">
        <v>403</v>
      </c>
      <c r="G251" s="195" t="s">
        <v>434</v>
      </c>
    </row>
    <row r="252" spans="1:7">
      <c r="A252" s="194" t="s">
        <v>89</v>
      </c>
      <c r="B252" s="195">
        <v>-4637</v>
      </c>
      <c r="C252" s="195">
        <v>0</v>
      </c>
      <c r="D252" s="196" t="s">
        <v>282</v>
      </c>
      <c r="E252" s="196" t="s">
        <v>320</v>
      </c>
      <c r="F252" s="195" t="s">
        <v>441</v>
      </c>
      <c r="G252" s="195" t="s">
        <v>434</v>
      </c>
    </row>
    <row r="253" spans="1:7">
      <c r="A253" s="194" t="s">
        <v>89</v>
      </c>
      <c r="B253" s="195">
        <v>-12728</v>
      </c>
      <c r="C253" s="195">
        <v>0</v>
      </c>
      <c r="D253" s="196" t="s">
        <v>282</v>
      </c>
      <c r="E253" s="196" t="s">
        <v>320</v>
      </c>
      <c r="F253" s="195" t="s">
        <v>411</v>
      </c>
      <c r="G253" s="195" t="s">
        <v>434</v>
      </c>
    </row>
    <row r="254" spans="1:7" hidden="1">
      <c r="A254" s="194" t="s">
        <v>234</v>
      </c>
      <c r="B254" s="195">
        <v>695</v>
      </c>
      <c r="C254" s="195">
        <v>0</v>
      </c>
      <c r="D254" s="196" t="s">
        <v>283</v>
      </c>
      <c r="E254" s="196" t="s">
        <v>319</v>
      </c>
      <c r="F254" s="195" t="s">
        <v>441</v>
      </c>
      <c r="G254" s="195" t="s">
        <v>434</v>
      </c>
    </row>
    <row r="255" spans="1:7">
      <c r="A255" s="194" t="s">
        <v>234</v>
      </c>
      <c r="B255" s="195">
        <v>1390</v>
      </c>
      <c r="C255" s="195">
        <v>0</v>
      </c>
      <c r="D255" s="196" t="s">
        <v>282</v>
      </c>
      <c r="E255" s="196" t="s">
        <v>319</v>
      </c>
      <c r="F255" s="195" t="s">
        <v>408</v>
      </c>
      <c r="G255" s="195" t="s">
        <v>434</v>
      </c>
    </row>
    <row r="256" spans="1:7">
      <c r="A256" s="194" t="s">
        <v>234</v>
      </c>
      <c r="B256" s="195">
        <v>-695</v>
      </c>
      <c r="C256" s="195">
        <v>0</v>
      </c>
      <c r="D256" s="196" t="s">
        <v>282</v>
      </c>
      <c r="E256" s="196" t="s">
        <v>319</v>
      </c>
      <c r="F256" s="195" t="s">
        <v>441</v>
      </c>
      <c r="G256" s="195" t="s">
        <v>434</v>
      </c>
    </row>
    <row r="257" spans="1:7" hidden="1">
      <c r="A257" s="194" t="s">
        <v>524</v>
      </c>
      <c r="B257" s="195">
        <v>10631200</v>
      </c>
      <c r="C257" s="195">
        <v>0</v>
      </c>
      <c r="D257" s="196" t="s">
        <v>437</v>
      </c>
      <c r="E257" s="196" t="s">
        <v>525</v>
      </c>
      <c r="F257" s="195" t="s">
        <v>394</v>
      </c>
      <c r="G257" s="195" t="s">
        <v>434</v>
      </c>
    </row>
    <row r="258" spans="1:7" hidden="1">
      <c r="A258" s="194" t="s">
        <v>524</v>
      </c>
      <c r="B258" s="195">
        <v>-10631200</v>
      </c>
      <c r="C258" s="195">
        <v>0</v>
      </c>
      <c r="D258" s="196" t="s">
        <v>437</v>
      </c>
      <c r="E258" s="196" t="s">
        <v>525</v>
      </c>
      <c r="F258" s="195" t="s">
        <v>393</v>
      </c>
      <c r="G258" s="195" t="s">
        <v>434</v>
      </c>
    </row>
    <row r="259" spans="1:7">
      <c r="A259" s="194" t="s">
        <v>524</v>
      </c>
      <c r="B259" s="195">
        <v>10631200</v>
      </c>
      <c r="C259" s="195">
        <v>0</v>
      </c>
      <c r="D259" s="196" t="s">
        <v>282</v>
      </c>
      <c r="E259" s="196" t="s">
        <v>525</v>
      </c>
      <c r="F259" s="195" t="s">
        <v>394</v>
      </c>
      <c r="G259" s="195" t="s">
        <v>434</v>
      </c>
    </row>
    <row r="260" spans="1:7">
      <c r="A260" s="194" t="s">
        <v>524</v>
      </c>
      <c r="B260" s="195">
        <v>-10631200</v>
      </c>
      <c r="C260" s="195">
        <v>0</v>
      </c>
      <c r="D260" s="196" t="s">
        <v>282</v>
      </c>
      <c r="E260" s="196" t="s">
        <v>525</v>
      </c>
      <c r="F260" s="195" t="s">
        <v>393</v>
      </c>
      <c r="G260" s="195" t="s">
        <v>434</v>
      </c>
    </row>
    <row r="261" spans="1:7" hidden="1">
      <c r="A261" s="194" t="s">
        <v>526</v>
      </c>
      <c r="B261" s="195">
        <v>4230877</v>
      </c>
      <c r="C261" s="195">
        <v>0</v>
      </c>
      <c r="D261" s="196" t="s">
        <v>440</v>
      </c>
      <c r="E261" s="196" t="s">
        <v>39</v>
      </c>
      <c r="F261" s="195" t="s">
        <v>394</v>
      </c>
      <c r="G261" s="195" t="s">
        <v>434</v>
      </c>
    </row>
    <row r="262" spans="1:7" hidden="1">
      <c r="A262" s="194" t="s">
        <v>526</v>
      </c>
      <c r="B262" s="195">
        <v>178206</v>
      </c>
      <c r="C262" s="195">
        <v>0</v>
      </c>
      <c r="D262" s="196" t="s">
        <v>442</v>
      </c>
      <c r="E262" s="196" t="s">
        <v>39</v>
      </c>
      <c r="F262" s="195" t="s">
        <v>394</v>
      </c>
      <c r="G262" s="195" t="s">
        <v>434</v>
      </c>
    </row>
    <row r="263" spans="1:7" hidden="1">
      <c r="A263" s="194" t="s">
        <v>527</v>
      </c>
      <c r="B263" s="195">
        <v>-37600</v>
      </c>
      <c r="C263" s="195">
        <v>0</v>
      </c>
      <c r="D263" s="196" t="s">
        <v>440</v>
      </c>
      <c r="E263" s="196" t="s">
        <v>327</v>
      </c>
      <c r="F263" s="195" t="s">
        <v>394</v>
      </c>
      <c r="G263" s="195" t="s">
        <v>434</v>
      </c>
    </row>
    <row r="264" spans="1:7" hidden="1">
      <c r="A264" s="194" t="s">
        <v>528</v>
      </c>
      <c r="B264" s="195">
        <v>-37600</v>
      </c>
      <c r="C264" s="195">
        <v>0</v>
      </c>
      <c r="D264" s="196" t="s">
        <v>440</v>
      </c>
      <c r="E264" s="196" t="s">
        <v>327</v>
      </c>
      <c r="F264" s="195" t="s">
        <v>394</v>
      </c>
      <c r="G264" s="195" t="s">
        <v>434</v>
      </c>
    </row>
    <row r="265" spans="1:7" hidden="1">
      <c r="A265" s="194" t="s">
        <v>529</v>
      </c>
      <c r="B265" s="195">
        <v>37600</v>
      </c>
      <c r="C265" s="195">
        <v>0</v>
      </c>
      <c r="D265" s="196" t="s">
        <v>440</v>
      </c>
      <c r="E265" s="196" t="s">
        <v>327</v>
      </c>
      <c r="F265" s="195" t="s">
        <v>394</v>
      </c>
      <c r="G265" s="195" t="s">
        <v>434</v>
      </c>
    </row>
    <row r="266" spans="1:7" hidden="1">
      <c r="A266" s="194" t="s">
        <v>530</v>
      </c>
      <c r="B266" s="195">
        <v>-39320</v>
      </c>
      <c r="C266" s="195">
        <v>0</v>
      </c>
      <c r="D266" s="196" t="s">
        <v>440</v>
      </c>
      <c r="E266" s="196" t="s">
        <v>327</v>
      </c>
      <c r="F266" s="195" t="s">
        <v>409</v>
      </c>
      <c r="G266" s="195" t="s">
        <v>434</v>
      </c>
    </row>
    <row r="267" spans="1:7" hidden="1">
      <c r="A267" s="194" t="s">
        <v>531</v>
      </c>
      <c r="B267" s="195">
        <v>-39320</v>
      </c>
      <c r="C267" s="195">
        <v>0</v>
      </c>
      <c r="D267" s="196" t="s">
        <v>440</v>
      </c>
      <c r="E267" s="196" t="s">
        <v>327</v>
      </c>
      <c r="F267" s="195" t="s">
        <v>409</v>
      </c>
      <c r="G267" s="195" t="s">
        <v>434</v>
      </c>
    </row>
    <row r="268" spans="1:7" hidden="1">
      <c r="A268" s="194" t="s">
        <v>532</v>
      </c>
      <c r="B268" s="195">
        <v>39320</v>
      </c>
      <c r="C268" s="195">
        <v>0</v>
      </c>
      <c r="D268" s="196" t="s">
        <v>440</v>
      </c>
      <c r="E268" s="196" t="s">
        <v>327</v>
      </c>
      <c r="F268" s="195" t="s">
        <v>409</v>
      </c>
      <c r="G268" s="195" t="s">
        <v>434</v>
      </c>
    </row>
    <row r="269" spans="1:7" hidden="1">
      <c r="A269" s="194" t="s">
        <v>144</v>
      </c>
      <c r="B269" s="195">
        <v>11122</v>
      </c>
      <c r="C269" s="195">
        <v>0</v>
      </c>
      <c r="D269" s="196" t="s">
        <v>437</v>
      </c>
      <c r="E269" s="196" t="s">
        <v>320</v>
      </c>
      <c r="F269" s="195" t="s">
        <v>394</v>
      </c>
      <c r="G269" s="195" t="s">
        <v>434</v>
      </c>
    </row>
    <row r="270" spans="1:7" hidden="1">
      <c r="A270" s="194" t="s">
        <v>144</v>
      </c>
      <c r="B270" s="195">
        <v>-11122</v>
      </c>
      <c r="C270" s="195">
        <v>0</v>
      </c>
      <c r="D270" s="196" t="s">
        <v>437</v>
      </c>
      <c r="E270" s="196" t="s">
        <v>320</v>
      </c>
      <c r="F270" s="195" t="s">
        <v>402</v>
      </c>
      <c r="G270" s="195" t="s">
        <v>434</v>
      </c>
    </row>
    <row r="271" spans="1:7">
      <c r="A271" s="194" t="s">
        <v>144</v>
      </c>
      <c r="B271" s="195">
        <v>11667</v>
      </c>
      <c r="C271" s="195">
        <v>0</v>
      </c>
      <c r="D271" s="196" t="s">
        <v>282</v>
      </c>
      <c r="E271" s="196" t="s">
        <v>320</v>
      </c>
      <c r="F271" s="195" t="s">
        <v>394</v>
      </c>
      <c r="G271" s="195" t="s">
        <v>434</v>
      </c>
    </row>
    <row r="272" spans="1:7">
      <c r="A272" s="194" t="s">
        <v>144</v>
      </c>
      <c r="B272" s="195">
        <v>-11667</v>
      </c>
      <c r="C272" s="195">
        <v>0</v>
      </c>
      <c r="D272" s="196" t="s">
        <v>282</v>
      </c>
      <c r="E272" s="196" t="s">
        <v>320</v>
      </c>
      <c r="F272" s="195" t="s">
        <v>393</v>
      </c>
      <c r="G272" s="195" t="s">
        <v>434</v>
      </c>
    </row>
    <row r="273" spans="1:7" hidden="1">
      <c r="A273" s="194" t="s">
        <v>144</v>
      </c>
      <c r="B273" s="195">
        <v>-1342</v>
      </c>
      <c r="C273" s="195">
        <v>0</v>
      </c>
      <c r="D273" s="196" t="s">
        <v>442</v>
      </c>
      <c r="E273" s="196" t="s">
        <v>320</v>
      </c>
      <c r="F273" s="195" t="s">
        <v>394</v>
      </c>
      <c r="G273" s="195" t="s">
        <v>434</v>
      </c>
    </row>
    <row r="274" spans="1:7" hidden="1">
      <c r="A274" s="194" t="s">
        <v>533</v>
      </c>
      <c r="B274" s="195">
        <v>17600</v>
      </c>
      <c r="C274" s="195">
        <v>0</v>
      </c>
      <c r="D274" s="196" t="s">
        <v>442</v>
      </c>
      <c r="E274" s="196" t="s">
        <v>39</v>
      </c>
      <c r="F274" s="195" t="s">
        <v>394</v>
      </c>
      <c r="G274" s="195" t="s">
        <v>434</v>
      </c>
    </row>
    <row r="275" spans="1:7" hidden="1">
      <c r="A275" s="194" t="s">
        <v>6</v>
      </c>
      <c r="B275" s="195">
        <v>16304</v>
      </c>
      <c r="C275" s="195">
        <v>0</v>
      </c>
      <c r="D275" s="196" t="s">
        <v>283</v>
      </c>
      <c r="E275" s="196" t="s">
        <v>320</v>
      </c>
      <c r="F275" s="195" t="s">
        <v>394</v>
      </c>
      <c r="G275" s="195" t="s">
        <v>434</v>
      </c>
    </row>
    <row r="276" spans="1:7" hidden="1">
      <c r="A276" s="194" t="s">
        <v>6</v>
      </c>
      <c r="B276" s="195">
        <v>-16304</v>
      </c>
      <c r="C276" s="195">
        <v>0</v>
      </c>
      <c r="D276" s="196" t="s">
        <v>283</v>
      </c>
      <c r="E276" s="196" t="s">
        <v>320</v>
      </c>
      <c r="F276" s="195" t="s">
        <v>441</v>
      </c>
      <c r="G276" s="195" t="s">
        <v>434</v>
      </c>
    </row>
    <row r="277" spans="1:7" hidden="1">
      <c r="A277" s="194" t="s">
        <v>6</v>
      </c>
      <c r="B277" s="195">
        <v>-17130</v>
      </c>
      <c r="C277" s="195">
        <v>0</v>
      </c>
      <c r="D277" s="196" t="s">
        <v>437</v>
      </c>
      <c r="E277" s="196" t="s">
        <v>320</v>
      </c>
      <c r="F277" s="195" t="s">
        <v>394</v>
      </c>
      <c r="G277" s="195" t="s">
        <v>434</v>
      </c>
    </row>
    <row r="278" spans="1:7">
      <c r="A278" s="194" t="s">
        <v>6</v>
      </c>
      <c r="B278" s="195">
        <v>-3964</v>
      </c>
      <c r="C278" s="195">
        <v>0</v>
      </c>
      <c r="D278" s="196" t="s">
        <v>282</v>
      </c>
      <c r="E278" s="196" t="s">
        <v>320</v>
      </c>
      <c r="F278" s="195" t="s">
        <v>394</v>
      </c>
      <c r="G278" s="195" t="s">
        <v>434</v>
      </c>
    </row>
    <row r="279" spans="1:7">
      <c r="A279" s="194" t="s">
        <v>6</v>
      </c>
      <c r="B279" s="195">
        <v>-7106</v>
      </c>
      <c r="C279" s="195">
        <v>0</v>
      </c>
      <c r="D279" s="196" t="s">
        <v>282</v>
      </c>
      <c r="E279" s="196" t="s">
        <v>320</v>
      </c>
      <c r="F279" s="195" t="s">
        <v>445</v>
      </c>
      <c r="G279" s="195" t="s">
        <v>434</v>
      </c>
    </row>
    <row r="280" spans="1:7">
      <c r="A280" s="194" t="s">
        <v>6</v>
      </c>
      <c r="B280" s="195">
        <v>23560</v>
      </c>
      <c r="C280" s="195">
        <v>0</v>
      </c>
      <c r="D280" s="196" t="s">
        <v>282</v>
      </c>
      <c r="E280" s="196" t="s">
        <v>320</v>
      </c>
      <c r="F280" s="195" t="s">
        <v>393</v>
      </c>
      <c r="G280" s="195" t="s">
        <v>434</v>
      </c>
    </row>
    <row r="281" spans="1:7">
      <c r="A281" s="194" t="s">
        <v>6</v>
      </c>
      <c r="B281" s="195">
        <v>-22443</v>
      </c>
      <c r="C281" s="195">
        <v>0</v>
      </c>
      <c r="D281" s="196" t="s">
        <v>282</v>
      </c>
      <c r="E281" s="196" t="s">
        <v>320</v>
      </c>
      <c r="F281" s="195" t="s">
        <v>413</v>
      </c>
      <c r="G281" s="195" t="s">
        <v>434</v>
      </c>
    </row>
    <row r="282" spans="1:7">
      <c r="A282" s="194" t="s">
        <v>6</v>
      </c>
      <c r="B282" s="195">
        <v>-59173</v>
      </c>
      <c r="C282" s="195">
        <v>0</v>
      </c>
      <c r="D282" s="196" t="s">
        <v>282</v>
      </c>
      <c r="E282" s="196" t="s">
        <v>320</v>
      </c>
      <c r="F282" s="195" t="s">
        <v>403</v>
      </c>
      <c r="G282" s="195" t="s">
        <v>434</v>
      </c>
    </row>
    <row r="283" spans="1:7">
      <c r="A283" s="194" t="s">
        <v>6</v>
      </c>
      <c r="B283" s="195">
        <v>16304</v>
      </c>
      <c r="C283" s="195">
        <v>0</v>
      </c>
      <c r="D283" s="196" t="s">
        <v>282</v>
      </c>
      <c r="E283" s="196" t="s">
        <v>320</v>
      </c>
      <c r="F283" s="195" t="s">
        <v>441</v>
      </c>
      <c r="G283" s="195" t="s">
        <v>434</v>
      </c>
    </row>
    <row r="284" spans="1:7">
      <c r="A284" s="194" t="s">
        <v>6</v>
      </c>
      <c r="B284" s="195">
        <v>52822</v>
      </c>
      <c r="C284" s="195">
        <v>0</v>
      </c>
      <c r="D284" s="196" t="s">
        <v>282</v>
      </c>
      <c r="E284" s="196" t="s">
        <v>320</v>
      </c>
      <c r="F284" s="195" t="s">
        <v>449</v>
      </c>
      <c r="G284" s="195" t="s">
        <v>434</v>
      </c>
    </row>
    <row r="285" spans="1:7" hidden="1">
      <c r="A285" s="194" t="s">
        <v>71</v>
      </c>
      <c r="B285" s="195">
        <v>37072</v>
      </c>
      <c r="C285" s="195">
        <v>0</v>
      </c>
      <c r="D285" s="196" t="s">
        <v>283</v>
      </c>
      <c r="E285" s="196" t="s">
        <v>320</v>
      </c>
      <c r="F285" s="195" t="s">
        <v>394</v>
      </c>
      <c r="G285" s="195" t="s">
        <v>434</v>
      </c>
    </row>
    <row r="286" spans="1:7">
      <c r="A286" s="194" t="s">
        <v>71</v>
      </c>
      <c r="B286" s="195">
        <v>-28686</v>
      </c>
      <c r="C286" s="195">
        <v>0</v>
      </c>
      <c r="D286" s="196" t="s">
        <v>282</v>
      </c>
      <c r="E286" s="196" t="s">
        <v>320</v>
      </c>
      <c r="F286" s="195" t="s">
        <v>394</v>
      </c>
      <c r="G286" s="195" t="s">
        <v>434</v>
      </c>
    </row>
    <row r="287" spans="1:7">
      <c r="A287" s="194" t="s">
        <v>71</v>
      </c>
      <c r="B287" s="195">
        <v>-8386</v>
      </c>
      <c r="C287" s="195">
        <v>0</v>
      </c>
      <c r="D287" s="196" t="s">
        <v>282</v>
      </c>
      <c r="E287" s="196" t="s">
        <v>320</v>
      </c>
      <c r="F287" s="195" t="s">
        <v>445</v>
      </c>
      <c r="G287" s="195" t="s">
        <v>434</v>
      </c>
    </row>
    <row r="288" spans="1:7">
      <c r="A288" s="194" t="s">
        <v>71</v>
      </c>
      <c r="B288" s="195">
        <v>74143</v>
      </c>
      <c r="C288" s="195">
        <v>0</v>
      </c>
      <c r="D288" s="196" t="s">
        <v>282</v>
      </c>
      <c r="E288" s="196" t="s">
        <v>320</v>
      </c>
      <c r="F288" s="195" t="s">
        <v>393</v>
      </c>
      <c r="G288" s="195" t="s">
        <v>434</v>
      </c>
    </row>
    <row r="289" spans="1:7" hidden="1">
      <c r="A289" s="194" t="s">
        <v>534</v>
      </c>
      <c r="B289" s="195">
        <v>232</v>
      </c>
      <c r="C289" s="195">
        <v>0</v>
      </c>
      <c r="D289" s="196" t="s">
        <v>283</v>
      </c>
      <c r="E289" s="196" t="s">
        <v>324</v>
      </c>
      <c r="F289" s="195" t="s">
        <v>394</v>
      </c>
      <c r="G289" s="195" t="s">
        <v>434</v>
      </c>
    </row>
    <row r="290" spans="1:7">
      <c r="A290" s="194" t="s">
        <v>534</v>
      </c>
      <c r="B290" s="195">
        <v>-232</v>
      </c>
      <c r="C290" s="195">
        <v>0</v>
      </c>
      <c r="D290" s="196" t="s">
        <v>282</v>
      </c>
      <c r="E290" s="196" t="s">
        <v>324</v>
      </c>
      <c r="F290" s="195" t="s">
        <v>394</v>
      </c>
      <c r="G290" s="195" t="s">
        <v>434</v>
      </c>
    </row>
    <row r="291" spans="1:7">
      <c r="A291" s="194" t="s">
        <v>534</v>
      </c>
      <c r="B291" s="195">
        <v>463</v>
      </c>
      <c r="C291" s="195">
        <v>0</v>
      </c>
      <c r="D291" s="196" t="s">
        <v>282</v>
      </c>
      <c r="E291" s="196" t="s">
        <v>324</v>
      </c>
      <c r="F291" s="195" t="s">
        <v>408</v>
      </c>
      <c r="G291" s="195" t="s">
        <v>434</v>
      </c>
    </row>
    <row r="292" spans="1:7" hidden="1">
      <c r="A292" s="194" t="s">
        <v>535</v>
      </c>
      <c r="B292" s="195">
        <v>602</v>
      </c>
      <c r="C292" s="195">
        <v>0</v>
      </c>
      <c r="D292" s="196" t="s">
        <v>283</v>
      </c>
      <c r="E292" s="196" t="s">
        <v>324</v>
      </c>
      <c r="F292" s="195" t="s">
        <v>394</v>
      </c>
      <c r="G292" s="195" t="s">
        <v>434</v>
      </c>
    </row>
    <row r="293" spans="1:7">
      <c r="A293" s="194" t="s">
        <v>535</v>
      </c>
      <c r="B293" s="195">
        <v>-602</v>
      </c>
      <c r="C293" s="195">
        <v>0</v>
      </c>
      <c r="D293" s="196" t="s">
        <v>282</v>
      </c>
      <c r="E293" s="196" t="s">
        <v>324</v>
      </c>
      <c r="F293" s="195" t="s">
        <v>394</v>
      </c>
      <c r="G293" s="195" t="s">
        <v>434</v>
      </c>
    </row>
    <row r="294" spans="1:7">
      <c r="A294" s="194" t="s">
        <v>535</v>
      </c>
      <c r="B294" s="195">
        <v>1204</v>
      </c>
      <c r="C294" s="195">
        <v>0</v>
      </c>
      <c r="D294" s="196" t="s">
        <v>282</v>
      </c>
      <c r="E294" s="196" t="s">
        <v>324</v>
      </c>
      <c r="F294" s="195" t="s">
        <v>408</v>
      </c>
      <c r="G294" s="195" t="s">
        <v>434</v>
      </c>
    </row>
    <row r="295" spans="1:7" hidden="1">
      <c r="A295" s="194" t="s">
        <v>50</v>
      </c>
      <c r="B295" s="195">
        <v>11474</v>
      </c>
      <c r="C295" s="195">
        <v>0</v>
      </c>
      <c r="D295" s="196" t="s">
        <v>283</v>
      </c>
      <c r="E295" s="196" t="s">
        <v>320</v>
      </c>
      <c r="F295" s="195" t="s">
        <v>408</v>
      </c>
      <c r="G295" s="195" t="s">
        <v>434</v>
      </c>
    </row>
    <row r="296" spans="1:7" hidden="1">
      <c r="A296" s="194" t="s">
        <v>50</v>
      </c>
      <c r="B296" s="195">
        <v>-2318</v>
      </c>
      <c r="C296" s="195">
        <v>0</v>
      </c>
      <c r="D296" s="196" t="s">
        <v>283</v>
      </c>
      <c r="E296" s="196" t="s">
        <v>320</v>
      </c>
      <c r="F296" s="195" t="s">
        <v>393</v>
      </c>
      <c r="G296" s="195" t="s">
        <v>434</v>
      </c>
    </row>
    <row r="297" spans="1:7" hidden="1">
      <c r="A297" s="194" t="s">
        <v>50</v>
      </c>
      <c r="B297" s="195">
        <v>-9156</v>
      </c>
      <c r="C297" s="195">
        <v>0</v>
      </c>
      <c r="D297" s="196" t="s">
        <v>283</v>
      </c>
      <c r="E297" s="196" t="s">
        <v>320</v>
      </c>
      <c r="F297" s="195" t="s">
        <v>413</v>
      </c>
      <c r="G297" s="195" t="s">
        <v>434</v>
      </c>
    </row>
    <row r="298" spans="1:7" hidden="1">
      <c r="A298" s="194" t="s">
        <v>50</v>
      </c>
      <c r="B298" s="195">
        <v>55007</v>
      </c>
      <c r="C298" s="195">
        <v>0</v>
      </c>
      <c r="D298" s="196" t="s">
        <v>437</v>
      </c>
      <c r="E298" s="196" t="s">
        <v>320</v>
      </c>
      <c r="F298" s="195" t="s">
        <v>394</v>
      </c>
      <c r="G298" s="195" t="s">
        <v>434</v>
      </c>
    </row>
    <row r="299" spans="1:7" hidden="1">
      <c r="A299" s="194" t="s">
        <v>50</v>
      </c>
      <c r="B299" s="195">
        <v>-55007</v>
      </c>
      <c r="C299" s="195">
        <v>0</v>
      </c>
      <c r="D299" s="196" t="s">
        <v>437</v>
      </c>
      <c r="E299" s="196" t="s">
        <v>320</v>
      </c>
      <c r="F299" s="195" t="s">
        <v>393</v>
      </c>
      <c r="G299" s="195" t="s">
        <v>434</v>
      </c>
    </row>
    <row r="300" spans="1:7">
      <c r="A300" s="194" t="s">
        <v>50</v>
      </c>
      <c r="B300" s="195">
        <v>16474</v>
      </c>
      <c r="C300" s="195">
        <v>0</v>
      </c>
      <c r="D300" s="196" t="s">
        <v>282</v>
      </c>
      <c r="E300" s="196" t="s">
        <v>320</v>
      </c>
      <c r="F300" s="195" t="s">
        <v>394</v>
      </c>
      <c r="G300" s="195" t="s">
        <v>434</v>
      </c>
    </row>
    <row r="301" spans="1:7">
      <c r="A301" s="194" t="s">
        <v>50</v>
      </c>
      <c r="B301" s="195">
        <v>11474</v>
      </c>
      <c r="C301" s="195">
        <v>0</v>
      </c>
      <c r="D301" s="196" t="s">
        <v>282</v>
      </c>
      <c r="E301" s="196" t="s">
        <v>320</v>
      </c>
      <c r="F301" s="195" t="s">
        <v>408</v>
      </c>
      <c r="G301" s="195" t="s">
        <v>434</v>
      </c>
    </row>
    <row r="302" spans="1:7">
      <c r="A302" s="194" t="s">
        <v>50</v>
      </c>
      <c r="B302" s="195">
        <v>-6407</v>
      </c>
      <c r="C302" s="195">
        <v>0</v>
      </c>
      <c r="D302" s="196" t="s">
        <v>282</v>
      </c>
      <c r="E302" s="196" t="s">
        <v>320</v>
      </c>
      <c r="F302" s="195" t="s">
        <v>393</v>
      </c>
      <c r="G302" s="195" t="s">
        <v>434</v>
      </c>
    </row>
    <row r="303" spans="1:7">
      <c r="A303" s="194" t="s">
        <v>50</v>
      </c>
      <c r="B303" s="195">
        <v>-50804</v>
      </c>
      <c r="C303" s="195">
        <v>0</v>
      </c>
      <c r="D303" s="196" t="s">
        <v>282</v>
      </c>
      <c r="E303" s="196" t="s">
        <v>320</v>
      </c>
      <c r="F303" s="195" t="s">
        <v>413</v>
      </c>
      <c r="G303" s="195" t="s">
        <v>434</v>
      </c>
    </row>
    <row r="304" spans="1:7">
      <c r="A304" s="194" t="s">
        <v>50</v>
      </c>
      <c r="B304" s="195">
        <v>29263</v>
      </c>
      <c r="C304" s="195">
        <v>0</v>
      </c>
      <c r="D304" s="196" t="s">
        <v>282</v>
      </c>
      <c r="E304" s="196" t="s">
        <v>320</v>
      </c>
      <c r="F304" s="195" t="s">
        <v>403</v>
      </c>
      <c r="G304" s="195" t="s">
        <v>434</v>
      </c>
    </row>
    <row r="305" spans="1:7" hidden="1">
      <c r="A305" s="194" t="s">
        <v>50</v>
      </c>
      <c r="B305" s="195">
        <v>6001</v>
      </c>
      <c r="C305" s="195">
        <v>0</v>
      </c>
      <c r="D305" s="196" t="s">
        <v>442</v>
      </c>
      <c r="E305" s="196" t="s">
        <v>320</v>
      </c>
      <c r="F305" s="195" t="s">
        <v>394</v>
      </c>
      <c r="G305" s="195" t="s">
        <v>434</v>
      </c>
    </row>
    <row r="306" spans="1:7" hidden="1">
      <c r="A306" s="194" t="s">
        <v>536</v>
      </c>
      <c r="B306" s="195">
        <v>-139</v>
      </c>
      <c r="C306" s="195">
        <v>0</v>
      </c>
      <c r="D306" s="196" t="s">
        <v>283</v>
      </c>
      <c r="E306" s="196" t="s">
        <v>324</v>
      </c>
      <c r="F306" s="195" t="s">
        <v>394</v>
      </c>
      <c r="G306" s="195" t="s">
        <v>434</v>
      </c>
    </row>
    <row r="307" spans="1:7" hidden="1">
      <c r="A307" s="194" t="s">
        <v>536</v>
      </c>
      <c r="B307" s="195">
        <v>139</v>
      </c>
      <c r="C307" s="195">
        <v>0</v>
      </c>
      <c r="D307" s="196" t="s">
        <v>283</v>
      </c>
      <c r="E307" s="196" t="s">
        <v>324</v>
      </c>
      <c r="F307" s="195" t="s">
        <v>441</v>
      </c>
      <c r="G307" s="195" t="s">
        <v>434</v>
      </c>
    </row>
    <row r="308" spans="1:7">
      <c r="A308" s="194" t="s">
        <v>536</v>
      </c>
      <c r="B308" s="195">
        <v>139</v>
      </c>
      <c r="C308" s="195">
        <v>0</v>
      </c>
      <c r="D308" s="196" t="s">
        <v>282</v>
      </c>
      <c r="E308" s="196" t="s">
        <v>324</v>
      </c>
      <c r="F308" s="195" t="s">
        <v>394</v>
      </c>
      <c r="G308" s="195" t="s">
        <v>434</v>
      </c>
    </row>
    <row r="309" spans="1:7">
      <c r="A309" s="194" t="s">
        <v>536</v>
      </c>
      <c r="B309" s="195">
        <v>-278</v>
      </c>
      <c r="C309" s="195">
        <v>0</v>
      </c>
      <c r="D309" s="196" t="s">
        <v>282</v>
      </c>
      <c r="E309" s="196" t="s">
        <v>324</v>
      </c>
      <c r="F309" s="195" t="s">
        <v>408</v>
      </c>
      <c r="G309" s="195" t="s">
        <v>434</v>
      </c>
    </row>
    <row r="310" spans="1:7">
      <c r="A310" s="194" t="s">
        <v>536</v>
      </c>
      <c r="B310" s="195">
        <v>278</v>
      </c>
      <c r="C310" s="195">
        <v>0</v>
      </c>
      <c r="D310" s="196" t="s">
        <v>282</v>
      </c>
      <c r="E310" s="196" t="s">
        <v>324</v>
      </c>
      <c r="F310" s="195" t="s">
        <v>393</v>
      </c>
      <c r="G310" s="195" t="s">
        <v>434</v>
      </c>
    </row>
    <row r="311" spans="1:7">
      <c r="A311" s="194" t="s">
        <v>536</v>
      </c>
      <c r="B311" s="195">
        <v>-139</v>
      </c>
      <c r="C311" s="195">
        <v>0</v>
      </c>
      <c r="D311" s="196" t="s">
        <v>282</v>
      </c>
      <c r="E311" s="196" t="s">
        <v>324</v>
      </c>
      <c r="F311" s="195" t="s">
        <v>441</v>
      </c>
      <c r="G311" s="195" t="s">
        <v>434</v>
      </c>
    </row>
    <row r="312" spans="1:7" hidden="1">
      <c r="A312" s="194" t="s">
        <v>537</v>
      </c>
      <c r="B312" s="195">
        <v>765</v>
      </c>
      <c r="C312" s="195">
        <v>0</v>
      </c>
      <c r="D312" s="196" t="s">
        <v>283</v>
      </c>
      <c r="E312" s="196" t="s">
        <v>324</v>
      </c>
      <c r="F312" s="195" t="s">
        <v>408</v>
      </c>
      <c r="G312" s="195" t="s">
        <v>434</v>
      </c>
    </row>
    <row r="313" spans="1:7" hidden="1">
      <c r="A313" s="194" t="s">
        <v>537</v>
      </c>
      <c r="B313" s="195">
        <v>787</v>
      </c>
      <c r="C313" s="195">
        <v>0</v>
      </c>
      <c r="D313" s="196" t="s">
        <v>283</v>
      </c>
      <c r="E313" s="196" t="s">
        <v>324</v>
      </c>
      <c r="F313" s="195" t="s">
        <v>441</v>
      </c>
      <c r="G313" s="195" t="s">
        <v>434</v>
      </c>
    </row>
    <row r="314" spans="1:7">
      <c r="A314" s="194" t="s">
        <v>537</v>
      </c>
      <c r="B314" s="195">
        <v>1609</v>
      </c>
      <c r="C314" s="195">
        <v>0</v>
      </c>
      <c r="D314" s="196" t="s">
        <v>282</v>
      </c>
      <c r="E314" s="196" t="s">
        <v>324</v>
      </c>
      <c r="F314" s="195" t="s">
        <v>408</v>
      </c>
      <c r="G314" s="195" t="s">
        <v>434</v>
      </c>
    </row>
    <row r="315" spans="1:7">
      <c r="A315" s="194" t="s">
        <v>537</v>
      </c>
      <c r="B315" s="195">
        <v>731</v>
      </c>
      <c r="C315" s="195">
        <v>0</v>
      </c>
      <c r="D315" s="196" t="s">
        <v>282</v>
      </c>
      <c r="E315" s="196" t="s">
        <v>324</v>
      </c>
      <c r="F315" s="195" t="s">
        <v>393</v>
      </c>
      <c r="G315" s="195" t="s">
        <v>434</v>
      </c>
    </row>
    <row r="316" spans="1:7">
      <c r="A316" s="194" t="s">
        <v>537</v>
      </c>
      <c r="B316" s="195">
        <v>-787</v>
      </c>
      <c r="C316" s="195">
        <v>0</v>
      </c>
      <c r="D316" s="196" t="s">
        <v>282</v>
      </c>
      <c r="E316" s="196" t="s">
        <v>324</v>
      </c>
      <c r="F316" s="195" t="s">
        <v>441</v>
      </c>
      <c r="G316" s="195" t="s">
        <v>434</v>
      </c>
    </row>
    <row r="317" spans="1:7" hidden="1">
      <c r="A317" s="194" t="s">
        <v>538</v>
      </c>
      <c r="B317" s="195">
        <v>139</v>
      </c>
      <c r="C317" s="195">
        <v>0</v>
      </c>
      <c r="D317" s="196" t="s">
        <v>283</v>
      </c>
      <c r="E317" s="196" t="s">
        <v>324</v>
      </c>
      <c r="F317" s="195" t="s">
        <v>394</v>
      </c>
      <c r="G317" s="195" t="s">
        <v>434</v>
      </c>
    </row>
    <row r="318" spans="1:7" hidden="1">
      <c r="A318" s="194" t="s">
        <v>538</v>
      </c>
      <c r="B318" s="195">
        <v>-139</v>
      </c>
      <c r="C318" s="195">
        <v>0</v>
      </c>
      <c r="D318" s="196" t="s">
        <v>283</v>
      </c>
      <c r="E318" s="196" t="s">
        <v>324</v>
      </c>
      <c r="F318" s="195" t="s">
        <v>441</v>
      </c>
      <c r="G318" s="195" t="s">
        <v>434</v>
      </c>
    </row>
    <row r="319" spans="1:7">
      <c r="A319" s="194" t="s">
        <v>538</v>
      </c>
      <c r="B319" s="195">
        <v>-139</v>
      </c>
      <c r="C319" s="195">
        <v>0</v>
      </c>
      <c r="D319" s="196" t="s">
        <v>282</v>
      </c>
      <c r="E319" s="196" t="s">
        <v>324</v>
      </c>
      <c r="F319" s="195" t="s">
        <v>394</v>
      </c>
      <c r="G319" s="195" t="s">
        <v>434</v>
      </c>
    </row>
    <row r="320" spans="1:7">
      <c r="A320" s="194" t="s">
        <v>538</v>
      </c>
      <c r="B320" s="195">
        <v>278</v>
      </c>
      <c r="C320" s="195">
        <v>0</v>
      </c>
      <c r="D320" s="196" t="s">
        <v>282</v>
      </c>
      <c r="E320" s="196" t="s">
        <v>324</v>
      </c>
      <c r="F320" s="195" t="s">
        <v>408</v>
      </c>
      <c r="G320" s="195" t="s">
        <v>434</v>
      </c>
    </row>
    <row r="321" spans="1:7">
      <c r="A321" s="194" t="s">
        <v>538</v>
      </c>
      <c r="B321" s="195">
        <v>-278</v>
      </c>
      <c r="C321" s="195">
        <v>0</v>
      </c>
      <c r="D321" s="196" t="s">
        <v>282</v>
      </c>
      <c r="E321" s="196" t="s">
        <v>324</v>
      </c>
      <c r="F321" s="195" t="s">
        <v>393</v>
      </c>
      <c r="G321" s="195" t="s">
        <v>434</v>
      </c>
    </row>
    <row r="322" spans="1:7">
      <c r="A322" s="194" t="s">
        <v>538</v>
      </c>
      <c r="B322" s="195">
        <v>139</v>
      </c>
      <c r="C322" s="195">
        <v>0</v>
      </c>
      <c r="D322" s="196" t="s">
        <v>282</v>
      </c>
      <c r="E322" s="196" t="s">
        <v>324</v>
      </c>
      <c r="F322" s="195" t="s">
        <v>441</v>
      </c>
      <c r="G322" s="195" t="s">
        <v>434</v>
      </c>
    </row>
    <row r="323" spans="1:7" hidden="1">
      <c r="A323" s="194" t="s">
        <v>539</v>
      </c>
      <c r="B323" s="195">
        <v>580</v>
      </c>
      <c r="C323" s="195">
        <v>0</v>
      </c>
      <c r="D323" s="196" t="s">
        <v>283</v>
      </c>
      <c r="E323" s="196" t="s">
        <v>324</v>
      </c>
      <c r="F323" s="195" t="s">
        <v>394</v>
      </c>
      <c r="G323" s="195" t="s">
        <v>434</v>
      </c>
    </row>
    <row r="324" spans="1:7" hidden="1">
      <c r="A324" s="194" t="s">
        <v>539</v>
      </c>
      <c r="B324" s="195">
        <v>-765</v>
      </c>
      <c r="C324" s="195">
        <v>0</v>
      </c>
      <c r="D324" s="196" t="s">
        <v>283</v>
      </c>
      <c r="E324" s="196" t="s">
        <v>324</v>
      </c>
      <c r="F324" s="195" t="s">
        <v>408</v>
      </c>
      <c r="G324" s="195" t="s">
        <v>434</v>
      </c>
    </row>
    <row r="325" spans="1:7" hidden="1">
      <c r="A325" s="194" t="s">
        <v>539</v>
      </c>
      <c r="B325" s="195">
        <v>-787</v>
      </c>
      <c r="C325" s="195">
        <v>0</v>
      </c>
      <c r="D325" s="196" t="s">
        <v>283</v>
      </c>
      <c r="E325" s="196" t="s">
        <v>324</v>
      </c>
      <c r="F325" s="195" t="s">
        <v>441</v>
      </c>
      <c r="G325" s="195" t="s">
        <v>434</v>
      </c>
    </row>
    <row r="326" spans="1:7">
      <c r="A326" s="194" t="s">
        <v>539</v>
      </c>
      <c r="B326" s="195">
        <v>-580</v>
      </c>
      <c r="C326" s="195">
        <v>0</v>
      </c>
      <c r="D326" s="196" t="s">
        <v>282</v>
      </c>
      <c r="E326" s="196" t="s">
        <v>324</v>
      </c>
      <c r="F326" s="195" t="s">
        <v>394</v>
      </c>
      <c r="G326" s="195" t="s">
        <v>434</v>
      </c>
    </row>
    <row r="327" spans="1:7">
      <c r="A327" s="194" t="s">
        <v>539</v>
      </c>
      <c r="B327" s="195">
        <v>-450</v>
      </c>
      <c r="C327" s="195">
        <v>0</v>
      </c>
      <c r="D327" s="196" t="s">
        <v>282</v>
      </c>
      <c r="E327" s="196" t="s">
        <v>324</v>
      </c>
      <c r="F327" s="195" t="s">
        <v>408</v>
      </c>
      <c r="G327" s="195" t="s">
        <v>434</v>
      </c>
    </row>
    <row r="328" spans="1:7">
      <c r="A328" s="194" t="s">
        <v>539</v>
      </c>
      <c r="B328" s="195">
        <v>-730</v>
      </c>
      <c r="C328" s="195">
        <v>0</v>
      </c>
      <c r="D328" s="196" t="s">
        <v>282</v>
      </c>
      <c r="E328" s="196" t="s">
        <v>324</v>
      </c>
      <c r="F328" s="195" t="s">
        <v>393</v>
      </c>
      <c r="G328" s="195" t="s">
        <v>434</v>
      </c>
    </row>
    <row r="329" spans="1:7">
      <c r="A329" s="194" t="s">
        <v>539</v>
      </c>
      <c r="B329" s="195">
        <v>787</v>
      </c>
      <c r="C329" s="195">
        <v>0</v>
      </c>
      <c r="D329" s="196" t="s">
        <v>282</v>
      </c>
      <c r="E329" s="196" t="s">
        <v>324</v>
      </c>
      <c r="F329" s="195" t="s">
        <v>441</v>
      </c>
      <c r="G329" s="195" t="s">
        <v>434</v>
      </c>
    </row>
    <row r="330" spans="1:7" hidden="1">
      <c r="A330" s="194" t="s">
        <v>540</v>
      </c>
      <c r="B330" s="195">
        <v>-580</v>
      </c>
      <c r="C330" s="195">
        <v>0</v>
      </c>
      <c r="D330" s="196" t="s">
        <v>283</v>
      </c>
      <c r="E330" s="196" t="s">
        <v>324</v>
      </c>
      <c r="F330" s="195" t="s">
        <v>394</v>
      </c>
      <c r="G330" s="195" t="s">
        <v>434</v>
      </c>
    </row>
    <row r="331" spans="1:7">
      <c r="A331" s="194" t="s">
        <v>540</v>
      </c>
      <c r="B331" s="195">
        <v>580</v>
      </c>
      <c r="C331" s="195">
        <v>0</v>
      </c>
      <c r="D331" s="196" t="s">
        <v>282</v>
      </c>
      <c r="E331" s="196" t="s">
        <v>324</v>
      </c>
      <c r="F331" s="195" t="s">
        <v>394</v>
      </c>
      <c r="G331" s="195" t="s">
        <v>434</v>
      </c>
    </row>
    <row r="332" spans="1:7">
      <c r="A332" s="194" t="s">
        <v>540</v>
      </c>
      <c r="B332" s="195">
        <v>-1159</v>
      </c>
      <c r="C332" s="195">
        <v>0</v>
      </c>
      <c r="D332" s="196" t="s">
        <v>282</v>
      </c>
      <c r="E332" s="196" t="s">
        <v>324</v>
      </c>
      <c r="F332" s="195" t="s">
        <v>408</v>
      </c>
      <c r="G332" s="195" t="s">
        <v>434</v>
      </c>
    </row>
    <row r="333" spans="1:7" hidden="1">
      <c r="A333" s="194" t="s">
        <v>276</v>
      </c>
      <c r="B333" s="195">
        <v>929</v>
      </c>
      <c r="C333" s="195">
        <v>0</v>
      </c>
      <c r="D333" s="196" t="s">
        <v>283</v>
      </c>
      <c r="E333" s="196" t="s">
        <v>324</v>
      </c>
      <c r="F333" s="195" t="s">
        <v>394</v>
      </c>
      <c r="G333" s="195" t="s">
        <v>434</v>
      </c>
    </row>
    <row r="334" spans="1:7">
      <c r="A334" s="194" t="s">
        <v>276</v>
      </c>
      <c r="B334" s="195">
        <v>-929</v>
      </c>
      <c r="C334" s="195">
        <v>0</v>
      </c>
      <c r="D334" s="196" t="s">
        <v>282</v>
      </c>
      <c r="E334" s="196" t="s">
        <v>324</v>
      </c>
      <c r="F334" s="195" t="s">
        <v>394</v>
      </c>
      <c r="G334" s="195" t="s">
        <v>434</v>
      </c>
    </row>
    <row r="335" spans="1:7">
      <c r="A335" s="194" t="s">
        <v>276</v>
      </c>
      <c r="B335" s="195">
        <v>1853</v>
      </c>
      <c r="C335" s="195">
        <v>0</v>
      </c>
      <c r="D335" s="196" t="s">
        <v>282</v>
      </c>
      <c r="E335" s="196" t="s">
        <v>324</v>
      </c>
      <c r="F335" s="195" t="s">
        <v>408</v>
      </c>
      <c r="G335" s="195" t="s">
        <v>434</v>
      </c>
    </row>
    <row r="336" spans="1:7" hidden="1">
      <c r="A336" s="194" t="s">
        <v>277</v>
      </c>
      <c r="B336" s="195">
        <v>-926</v>
      </c>
      <c r="C336" s="195">
        <v>0</v>
      </c>
      <c r="D336" s="196" t="s">
        <v>283</v>
      </c>
      <c r="E336" s="196" t="s">
        <v>324</v>
      </c>
      <c r="F336" s="195" t="s">
        <v>394</v>
      </c>
      <c r="G336" s="195" t="s">
        <v>434</v>
      </c>
    </row>
    <row r="337" spans="1:7">
      <c r="A337" s="194" t="s">
        <v>277</v>
      </c>
      <c r="B337" s="195">
        <v>926</v>
      </c>
      <c r="C337" s="195">
        <v>0</v>
      </c>
      <c r="D337" s="196" t="s">
        <v>282</v>
      </c>
      <c r="E337" s="196" t="s">
        <v>324</v>
      </c>
      <c r="F337" s="195" t="s">
        <v>394</v>
      </c>
      <c r="G337" s="195" t="s">
        <v>434</v>
      </c>
    </row>
    <row r="338" spans="1:7">
      <c r="A338" s="194" t="s">
        <v>277</v>
      </c>
      <c r="B338" s="195">
        <v>-1851</v>
      </c>
      <c r="C338" s="195">
        <v>0</v>
      </c>
      <c r="D338" s="196" t="s">
        <v>282</v>
      </c>
      <c r="E338" s="196" t="s">
        <v>324</v>
      </c>
      <c r="F338" s="195" t="s">
        <v>408</v>
      </c>
      <c r="G338" s="195" t="s">
        <v>434</v>
      </c>
    </row>
    <row r="339" spans="1:7" hidden="1">
      <c r="A339" s="194" t="s">
        <v>541</v>
      </c>
      <c r="B339" s="195">
        <v>1060000</v>
      </c>
      <c r="C339" s="195">
        <v>0</v>
      </c>
      <c r="D339" s="196" t="s">
        <v>463</v>
      </c>
      <c r="E339" s="196" t="s">
        <v>464</v>
      </c>
      <c r="F339" s="195" t="s">
        <v>394</v>
      </c>
      <c r="G339" s="195" t="s">
        <v>434</v>
      </c>
    </row>
    <row r="340" spans="1:7" hidden="1">
      <c r="A340" s="194" t="s">
        <v>541</v>
      </c>
      <c r="B340" s="195">
        <v>-860000</v>
      </c>
      <c r="C340" s="195">
        <v>0</v>
      </c>
      <c r="D340" s="196" t="s">
        <v>463</v>
      </c>
      <c r="E340" s="196" t="s">
        <v>464</v>
      </c>
      <c r="F340" s="195" t="s">
        <v>413</v>
      </c>
      <c r="G340" s="195" t="s">
        <v>434</v>
      </c>
    </row>
    <row r="341" spans="1:7" hidden="1">
      <c r="A341" s="194" t="s">
        <v>541</v>
      </c>
      <c r="B341" s="195">
        <v>-200000</v>
      </c>
      <c r="C341" s="195">
        <v>0</v>
      </c>
      <c r="D341" s="196" t="s">
        <v>463</v>
      </c>
      <c r="E341" s="196" t="s">
        <v>464</v>
      </c>
      <c r="F341" s="195" t="s">
        <v>469</v>
      </c>
      <c r="G341" s="195" t="s">
        <v>434</v>
      </c>
    </row>
    <row r="342" spans="1:7" hidden="1">
      <c r="A342" s="194" t="s">
        <v>542</v>
      </c>
      <c r="B342" s="195">
        <v>-5500</v>
      </c>
      <c r="C342" s="195">
        <v>0</v>
      </c>
      <c r="D342" s="196" t="s">
        <v>463</v>
      </c>
      <c r="E342" s="196" t="s">
        <v>320</v>
      </c>
      <c r="F342" s="195" t="s">
        <v>394</v>
      </c>
      <c r="G342" s="195" t="s">
        <v>434</v>
      </c>
    </row>
    <row r="343" spans="1:7" hidden="1">
      <c r="A343" s="194" t="s">
        <v>542</v>
      </c>
      <c r="B343" s="195">
        <v>11100</v>
      </c>
      <c r="C343" s="195">
        <v>0</v>
      </c>
      <c r="D343" s="196" t="s">
        <v>463</v>
      </c>
      <c r="E343" s="196" t="s">
        <v>320</v>
      </c>
      <c r="F343" s="195" t="s">
        <v>402</v>
      </c>
      <c r="G343" s="195" t="s">
        <v>434</v>
      </c>
    </row>
    <row r="344" spans="1:7" hidden="1">
      <c r="A344" s="194" t="s">
        <v>86</v>
      </c>
      <c r="B344" s="195">
        <v>914</v>
      </c>
      <c r="C344" s="195">
        <v>0</v>
      </c>
      <c r="D344" s="196" t="s">
        <v>283</v>
      </c>
      <c r="E344" s="196" t="s">
        <v>317</v>
      </c>
      <c r="F344" s="195" t="s">
        <v>394</v>
      </c>
      <c r="G344" s="195" t="s">
        <v>434</v>
      </c>
    </row>
    <row r="345" spans="1:7" hidden="1">
      <c r="A345" s="194" t="s">
        <v>86</v>
      </c>
      <c r="B345" s="195">
        <v>-914</v>
      </c>
      <c r="C345" s="195">
        <v>0</v>
      </c>
      <c r="D345" s="196" t="s">
        <v>283</v>
      </c>
      <c r="E345" s="196" t="s">
        <v>317</v>
      </c>
      <c r="F345" s="195" t="s">
        <v>441</v>
      </c>
      <c r="G345" s="195" t="s">
        <v>434</v>
      </c>
    </row>
    <row r="346" spans="1:7">
      <c r="A346" s="194" t="s">
        <v>86</v>
      </c>
      <c r="B346" s="195">
        <v>4348</v>
      </c>
      <c r="C346" s="195">
        <v>0</v>
      </c>
      <c r="D346" s="196" t="s">
        <v>282</v>
      </c>
      <c r="E346" s="196" t="s">
        <v>317</v>
      </c>
      <c r="F346" s="195" t="s">
        <v>394</v>
      </c>
      <c r="G346" s="195" t="s">
        <v>434</v>
      </c>
    </row>
    <row r="347" spans="1:7">
      <c r="A347" s="194" t="s">
        <v>86</v>
      </c>
      <c r="B347" s="195">
        <v>602</v>
      </c>
      <c r="C347" s="195">
        <v>0</v>
      </c>
      <c r="D347" s="196" t="s">
        <v>282</v>
      </c>
      <c r="E347" s="196" t="s">
        <v>317</v>
      </c>
      <c r="F347" s="195" t="s">
        <v>445</v>
      </c>
      <c r="G347" s="195" t="s">
        <v>434</v>
      </c>
    </row>
    <row r="348" spans="1:7">
      <c r="A348" s="194" t="s">
        <v>86</v>
      </c>
      <c r="B348" s="195">
        <v>-5864</v>
      </c>
      <c r="C348" s="195">
        <v>0</v>
      </c>
      <c r="D348" s="196" t="s">
        <v>282</v>
      </c>
      <c r="E348" s="196" t="s">
        <v>317</v>
      </c>
      <c r="F348" s="195" t="s">
        <v>393</v>
      </c>
      <c r="G348" s="195" t="s">
        <v>434</v>
      </c>
    </row>
    <row r="349" spans="1:7">
      <c r="A349" s="194" t="s">
        <v>86</v>
      </c>
      <c r="B349" s="195">
        <v>914</v>
      </c>
      <c r="C349" s="195">
        <v>0</v>
      </c>
      <c r="D349" s="196" t="s">
        <v>282</v>
      </c>
      <c r="E349" s="196" t="s">
        <v>317</v>
      </c>
      <c r="F349" s="195" t="s">
        <v>441</v>
      </c>
      <c r="G349" s="195" t="s">
        <v>434</v>
      </c>
    </row>
    <row r="350" spans="1:7">
      <c r="A350" s="194" t="s">
        <v>543</v>
      </c>
      <c r="B350" s="195">
        <v>2084</v>
      </c>
      <c r="C350" s="195">
        <v>0</v>
      </c>
      <c r="D350" s="196" t="s">
        <v>282</v>
      </c>
      <c r="E350" s="196" t="s">
        <v>317</v>
      </c>
      <c r="F350" s="195" t="s">
        <v>394</v>
      </c>
      <c r="G350" s="195" t="s">
        <v>434</v>
      </c>
    </row>
    <row r="351" spans="1:7">
      <c r="A351" s="194" t="s">
        <v>543</v>
      </c>
      <c r="B351" s="195">
        <v>-2084</v>
      </c>
      <c r="C351" s="195">
        <v>0</v>
      </c>
      <c r="D351" s="196" t="s">
        <v>282</v>
      </c>
      <c r="E351" s="196" t="s">
        <v>317</v>
      </c>
      <c r="F351" s="195" t="s">
        <v>413</v>
      </c>
      <c r="G351" s="195" t="s">
        <v>434</v>
      </c>
    </row>
    <row r="352" spans="1:7" hidden="1">
      <c r="A352" s="194" t="s">
        <v>544</v>
      </c>
      <c r="B352" s="195">
        <v>1834</v>
      </c>
      <c r="C352" s="195">
        <v>0</v>
      </c>
      <c r="D352" s="196" t="s">
        <v>440</v>
      </c>
      <c r="E352" s="196" t="s">
        <v>317</v>
      </c>
      <c r="F352" s="195" t="s">
        <v>394</v>
      </c>
      <c r="G352" s="195" t="s">
        <v>434</v>
      </c>
    </row>
    <row r="353" spans="1:7" hidden="1">
      <c r="A353" s="194" t="s">
        <v>544</v>
      </c>
      <c r="B353" s="195">
        <v>-758</v>
      </c>
      <c r="C353" s="195">
        <v>0</v>
      </c>
      <c r="D353" s="196" t="s">
        <v>440</v>
      </c>
      <c r="E353" s="196" t="s">
        <v>317</v>
      </c>
      <c r="F353" s="195" t="s">
        <v>441</v>
      </c>
      <c r="G353" s="195" t="s">
        <v>434</v>
      </c>
    </row>
    <row r="354" spans="1:7" hidden="1">
      <c r="A354" s="194" t="s">
        <v>544</v>
      </c>
      <c r="B354" s="195">
        <v>-40</v>
      </c>
      <c r="C354" s="195">
        <v>0</v>
      </c>
      <c r="D354" s="196" t="s">
        <v>440</v>
      </c>
      <c r="E354" s="196" t="s">
        <v>317</v>
      </c>
      <c r="F354" s="195" t="s">
        <v>402</v>
      </c>
      <c r="G354" s="195" t="s">
        <v>434</v>
      </c>
    </row>
    <row r="355" spans="1:7" hidden="1">
      <c r="A355" s="194" t="s">
        <v>544</v>
      </c>
      <c r="B355" s="195">
        <v>136</v>
      </c>
      <c r="C355" s="195">
        <v>0</v>
      </c>
      <c r="D355" s="196" t="s">
        <v>442</v>
      </c>
      <c r="E355" s="196" t="s">
        <v>317</v>
      </c>
      <c r="F355" s="195" t="s">
        <v>394</v>
      </c>
      <c r="G355" s="195" t="s">
        <v>434</v>
      </c>
    </row>
    <row r="356" spans="1:7" hidden="1">
      <c r="A356" s="194" t="s">
        <v>544</v>
      </c>
      <c r="B356" s="195">
        <v>758</v>
      </c>
      <c r="C356" s="195">
        <v>0</v>
      </c>
      <c r="D356" s="196" t="s">
        <v>442</v>
      </c>
      <c r="E356" s="196" t="s">
        <v>317</v>
      </c>
      <c r="F356" s="195" t="s">
        <v>441</v>
      </c>
      <c r="G356" s="195" t="s">
        <v>434</v>
      </c>
    </row>
    <row r="357" spans="1:7" hidden="1">
      <c r="A357" s="194" t="s">
        <v>544</v>
      </c>
      <c r="B357" s="195">
        <v>-34</v>
      </c>
      <c r="C357" s="195">
        <v>0</v>
      </c>
      <c r="D357" s="196" t="s">
        <v>442</v>
      </c>
      <c r="E357" s="196" t="s">
        <v>317</v>
      </c>
      <c r="F357" s="195" t="s">
        <v>402</v>
      </c>
      <c r="G357" s="195" t="s">
        <v>434</v>
      </c>
    </row>
    <row r="358" spans="1:7" hidden="1">
      <c r="A358" s="194" t="s">
        <v>544</v>
      </c>
      <c r="B358" s="195">
        <v>420</v>
      </c>
      <c r="C358" s="195">
        <v>0</v>
      </c>
      <c r="D358" s="196" t="s">
        <v>545</v>
      </c>
      <c r="E358" s="196" t="s">
        <v>317</v>
      </c>
      <c r="F358" s="195" t="s">
        <v>394</v>
      </c>
      <c r="G358" s="195" t="s">
        <v>434</v>
      </c>
    </row>
    <row r="359" spans="1:7" hidden="1">
      <c r="A359" s="194" t="s">
        <v>544</v>
      </c>
      <c r="B359" s="195">
        <v>1165</v>
      </c>
      <c r="C359" s="195">
        <v>0</v>
      </c>
      <c r="D359" s="196" t="s">
        <v>474</v>
      </c>
      <c r="E359" s="196" t="s">
        <v>317</v>
      </c>
      <c r="F359" s="195" t="s">
        <v>394</v>
      </c>
      <c r="G359" s="195" t="s">
        <v>434</v>
      </c>
    </row>
    <row r="360" spans="1:7" hidden="1">
      <c r="A360" s="194" t="s">
        <v>546</v>
      </c>
      <c r="B360" s="195">
        <v>402</v>
      </c>
      <c r="C360" s="195">
        <v>0</v>
      </c>
      <c r="D360" s="196" t="s">
        <v>437</v>
      </c>
      <c r="E360" s="196" t="s">
        <v>547</v>
      </c>
      <c r="F360" s="195" t="s">
        <v>394</v>
      </c>
      <c r="G360" s="195" t="s">
        <v>434</v>
      </c>
    </row>
    <row r="361" spans="1:7" hidden="1">
      <c r="A361" s="194" t="s">
        <v>326</v>
      </c>
      <c r="B361" s="195">
        <v>1388</v>
      </c>
      <c r="C361" s="195">
        <v>0</v>
      </c>
      <c r="D361" s="196" t="s">
        <v>283</v>
      </c>
      <c r="E361" s="196" t="s">
        <v>317</v>
      </c>
      <c r="F361" s="195" t="s">
        <v>394</v>
      </c>
      <c r="G361" s="195" t="s">
        <v>434</v>
      </c>
    </row>
    <row r="362" spans="1:7" hidden="1">
      <c r="A362" s="194" t="s">
        <v>326</v>
      </c>
      <c r="B362" s="195">
        <v>-1388</v>
      </c>
      <c r="C362" s="195">
        <v>0</v>
      </c>
      <c r="D362" s="196" t="s">
        <v>283</v>
      </c>
      <c r="E362" s="196" t="s">
        <v>317</v>
      </c>
      <c r="F362" s="195" t="s">
        <v>441</v>
      </c>
      <c r="G362" s="195" t="s">
        <v>434</v>
      </c>
    </row>
    <row r="363" spans="1:7" hidden="1">
      <c r="A363" s="194" t="s">
        <v>326</v>
      </c>
      <c r="B363" s="195">
        <v>13700</v>
      </c>
      <c r="C363" s="195">
        <v>0</v>
      </c>
      <c r="D363" s="196" t="s">
        <v>437</v>
      </c>
      <c r="E363" s="196" t="s">
        <v>317</v>
      </c>
      <c r="F363" s="195" t="s">
        <v>394</v>
      </c>
      <c r="G363" s="195" t="s">
        <v>434</v>
      </c>
    </row>
    <row r="364" spans="1:7" hidden="1">
      <c r="A364" s="194" t="s">
        <v>326</v>
      </c>
      <c r="B364" s="195">
        <v>-13700</v>
      </c>
      <c r="C364" s="195">
        <v>0</v>
      </c>
      <c r="D364" s="196" t="s">
        <v>437</v>
      </c>
      <c r="E364" s="196" t="s">
        <v>317</v>
      </c>
      <c r="F364" s="195" t="s">
        <v>441</v>
      </c>
      <c r="G364" s="195" t="s">
        <v>434</v>
      </c>
    </row>
    <row r="365" spans="1:7">
      <c r="A365" s="194" t="s">
        <v>326</v>
      </c>
      <c r="B365" s="195">
        <v>-3777</v>
      </c>
      <c r="C365" s="195">
        <v>0</v>
      </c>
      <c r="D365" s="196" t="s">
        <v>282</v>
      </c>
      <c r="E365" s="196" t="s">
        <v>317</v>
      </c>
      <c r="F365" s="195" t="s">
        <v>394</v>
      </c>
      <c r="G365" s="195" t="s">
        <v>434</v>
      </c>
    </row>
    <row r="366" spans="1:7">
      <c r="A366" s="194" t="s">
        <v>326</v>
      </c>
      <c r="B366" s="195">
        <v>-3172</v>
      </c>
      <c r="C366" s="195">
        <v>0</v>
      </c>
      <c r="D366" s="196" t="s">
        <v>282</v>
      </c>
      <c r="E366" s="196" t="s">
        <v>317</v>
      </c>
      <c r="F366" s="195" t="s">
        <v>445</v>
      </c>
      <c r="G366" s="195" t="s">
        <v>434</v>
      </c>
    </row>
    <row r="367" spans="1:7">
      <c r="A367" s="194" t="s">
        <v>326</v>
      </c>
      <c r="B367" s="195">
        <v>-4008</v>
      </c>
      <c r="C367" s="195">
        <v>0</v>
      </c>
      <c r="D367" s="196" t="s">
        <v>282</v>
      </c>
      <c r="E367" s="196" t="s">
        <v>317</v>
      </c>
      <c r="F367" s="195" t="s">
        <v>408</v>
      </c>
      <c r="G367" s="195" t="s">
        <v>434</v>
      </c>
    </row>
    <row r="368" spans="1:7">
      <c r="A368" s="194" t="s">
        <v>326</v>
      </c>
      <c r="B368" s="195">
        <v>-9455</v>
      </c>
      <c r="C368" s="195">
        <v>0</v>
      </c>
      <c r="D368" s="196" t="s">
        <v>282</v>
      </c>
      <c r="E368" s="196" t="s">
        <v>317</v>
      </c>
      <c r="F368" s="195" t="s">
        <v>393</v>
      </c>
      <c r="G368" s="195" t="s">
        <v>434</v>
      </c>
    </row>
    <row r="369" spans="1:7">
      <c r="A369" s="194" t="s">
        <v>326</v>
      </c>
      <c r="B369" s="195">
        <v>5324</v>
      </c>
      <c r="C369" s="195">
        <v>0</v>
      </c>
      <c r="D369" s="196" t="s">
        <v>282</v>
      </c>
      <c r="E369" s="196" t="s">
        <v>317</v>
      </c>
      <c r="F369" s="195" t="s">
        <v>413</v>
      </c>
      <c r="G369" s="195" t="s">
        <v>434</v>
      </c>
    </row>
    <row r="370" spans="1:7">
      <c r="A370" s="194" t="s">
        <v>326</v>
      </c>
      <c r="B370" s="195">
        <v>15088</v>
      </c>
      <c r="C370" s="195">
        <v>0</v>
      </c>
      <c r="D370" s="196" t="s">
        <v>282</v>
      </c>
      <c r="E370" s="196" t="s">
        <v>317</v>
      </c>
      <c r="F370" s="195" t="s">
        <v>441</v>
      </c>
      <c r="G370" s="195" t="s">
        <v>434</v>
      </c>
    </row>
    <row r="371" spans="1:7" hidden="1">
      <c r="A371" s="194" t="s">
        <v>548</v>
      </c>
      <c r="B371" s="195">
        <v>-9</v>
      </c>
      <c r="C371" s="195">
        <v>0</v>
      </c>
      <c r="D371" s="196" t="s">
        <v>283</v>
      </c>
      <c r="E371" s="196" t="s">
        <v>319</v>
      </c>
      <c r="F371" s="195" t="s">
        <v>394</v>
      </c>
      <c r="G371" s="195" t="s">
        <v>434</v>
      </c>
    </row>
    <row r="372" spans="1:7" hidden="1">
      <c r="A372" s="194" t="s">
        <v>548</v>
      </c>
      <c r="B372" s="195">
        <v>9</v>
      </c>
      <c r="C372" s="195">
        <v>0</v>
      </c>
      <c r="D372" s="196" t="s">
        <v>283</v>
      </c>
      <c r="E372" s="196" t="s">
        <v>319</v>
      </c>
      <c r="F372" s="195" t="s">
        <v>408</v>
      </c>
      <c r="G372" s="195" t="s">
        <v>434</v>
      </c>
    </row>
    <row r="373" spans="1:7">
      <c r="A373" s="194" t="s">
        <v>548</v>
      </c>
      <c r="B373" s="195">
        <v>9</v>
      </c>
      <c r="C373" s="195">
        <v>0</v>
      </c>
      <c r="D373" s="196" t="s">
        <v>282</v>
      </c>
      <c r="E373" s="196" t="s">
        <v>319</v>
      </c>
      <c r="F373" s="195" t="s">
        <v>394</v>
      </c>
      <c r="G373" s="195" t="s">
        <v>434</v>
      </c>
    </row>
    <row r="374" spans="1:7">
      <c r="A374" s="194" t="s">
        <v>548</v>
      </c>
      <c r="B374" s="195">
        <v>97</v>
      </c>
      <c r="C374" s="195">
        <v>0</v>
      </c>
      <c r="D374" s="196" t="s">
        <v>282</v>
      </c>
      <c r="E374" s="196" t="s">
        <v>319</v>
      </c>
      <c r="F374" s="195" t="s">
        <v>408</v>
      </c>
      <c r="G374" s="195" t="s">
        <v>434</v>
      </c>
    </row>
    <row r="375" spans="1:7">
      <c r="A375" s="194" t="s">
        <v>548</v>
      </c>
      <c r="B375" s="195">
        <v>-106</v>
      </c>
      <c r="C375" s="195">
        <v>0</v>
      </c>
      <c r="D375" s="196" t="s">
        <v>282</v>
      </c>
      <c r="E375" s="196" t="s">
        <v>319</v>
      </c>
      <c r="F375" s="195" t="s">
        <v>393</v>
      </c>
      <c r="G375" s="195" t="s">
        <v>434</v>
      </c>
    </row>
    <row r="376" spans="1:7" hidden="1">
      <c r="A376" s="194" t="s">
        <v>549</v>
      </c>
      <c r="B376" s="195">
        <v>9</v>
      </c>
      <c r="C376" s="195">
        <v>0</v>
      </c>
      <c r="D376" s="196" t="s">
        <v>283</v>
      </c>
      <c r="E376" s="196" t="s">
        <v>319</v>
      </c>
      <c r="F376" s="195" t="s">
        <v>394</v>
      </c>
      <c r="G376" s="195" t="s">
        <v>434</v>
      </c>
    </row>
    <row r="377" spans="1:7" hidden="1">
      <c r="A377" s="194" t="s">
        <v>549</v>
      </c>
      <c r="B377" s="195">
        <v>-9</v>
      </c>
      <c r="C377" s="195">
        <v>0</v>
      </c>
      <c r="D377" s="196" t="s">
        <v>283</v>
      </c>
      <c r="E377" s="196" t="s">
        <v>319</v>
      </c>
      <c r="F377" s="195" t="s">
        <v>408</v>
      </c>
      <c r="G377" s="195" t="s">
        <v>434</v>
      </c>
    </row>
    <row r="378" spans="1:7">
      <c r="A378" s="194" t="s">
        <v>549</v>
      </c>
      <c r="B378" s="195">
        <v>-9</v>
      </c>
      <c r="C378" s="195">
        <v>0</v>
      </c>
      <c r="D378" s="196" t="s">
        <v>282</v>
      </c>
      <c r="E378" s="196" t="s">
        <v>319</v>
      </c>
      <c r="F378" s="195" t="s">
        <v>394</v>
      </c>
      <c r="G378" s="195" t="s">
        <v>434</v>
      </c>
    </row>
    <row r="379" spans="1:7">
      <c r="A379" s="194" t="s">
        <v>549</v>
      </c>
      <c r="B379" s="195">
        <v>-98</v>
      </c>
      <c r="C379" s="195">
        <v>0</v>
      </c>
      <c r="D379" s="196" t="s">
        <v>282</v>
      </c>
      <c r="E379" s="196" t="s">
        <v>319</v>
      </c>
      <c r="F379" s="195" t="s">
        <v>408</v>
      </c>
      <c r="G379" s="195" t="s">
        <v>434</v>
      </c>
    </row>
    <row r="380" spans="1:7">
      <c r="A380" s="194" t="s">
        <v>549</v>
      </c>
      <c r="B380" s="195">
        <v>107</v>
      </c>
      <c r="C380" s="195">
        <v>0</v>
      </c>
      <c r="D380" s="196" t="s">
        <v>282</v>
      </c>
      <c r="E380" s="196" t="s">
        <v>319</v>
      </c>
      <c r="F380" s="195" t="s">
        <v>393</v>
      </c>
      <c r="G380" s="195" t="s">
        <v>434</v>
      </c>
    </row>
    <row r="381" spans="1:7" hidden="1">
      <c r="A381" s="194" t="s">
        <v>550</v>
      </c>
      <c r="B381" s="195">
        <v>-1</v>
      </c>
      <c r="C381" s="195">
        <v>0</v>
      </c>
      <c r="D381" s="196" t="s">
        <v>283</v>
      </c>
      <c r="E381" s="196" t="s">
        <v>324</v>
      </c>
      <c r="F381" s="195" t="s">
        <v>394</v>
      </c>
      <c r="G381" s="195" t="s">
        <v>434</v>
      </c>
    </row>
    <row r="382" spans="1:7">
      <c r="A382" s="194" t="s">
        <v>550</v>
      </c>
      <c r="B382" s="195">
        <v>1</v>
      </c>
      <c r="C382" s="195">
        <v>0</v>
      </c>
      <c r="D382" s="196" t="s">
        <v>282</v>
      </c>
      <c r="E382" s="196" t="s">
        <v>324</v>
      </c>
      <c r="F382" s="195" t="s">
        <v>394</v>
      </c>
      <c r="G382" s="195" t="s">
        <v>434</v>
      </c>
    </row>
    <row r="383" spans="1:7">
      <c r="A383" s="194" t="s">
        <v>550</v>
      </c>
      <c r="B383" s="195">
        <v>90</v>
      </c>
      <c r="C383" s="195">
        <v>0</v>
      </c>
      <c r="D383" s="196" t="s">
        <v>282</v>
      </c>
      <c r="E383" s="196" t="s">
        <v>324</v>
      </c>
      <c r="F383" s="195" t="s">
        <v>408</v>
      </c>
      <c r="G383" s="195" t="s">
        <v>434</v>
      </c>
    </row>
    <row r="384" spans="1:7">
      <c r="A384" s="194" t="s">
        <v>550</v>
      </c>
      <c r="B384" s="195">
        <v>-90</v>
      </c>
      <c r="C384" s="195">
        <v>0</v>
      </c>
      <c r="D384" s="196" t="s">
        <v>282</v>
      </c>
      <c r="E384" s="196" t="s">
        <v>324</v>
      </c>
      <c r="F384" s="195" t="s">
        <v>393</v>
      </c>
      <c r="G384" s="195" t="s">
        <v>434</v>
      </c>
    </row>
    <row r="385" spans="1:7">
      <c r="A385" s="194" t="s">
        <v>551</v>
      </c>
      <c r="B385" s="195">
        <v>-91</v>
      </c>
      <c r="C385" s="195">
        <v>0</v>
      </c>
      <c r="D385" s="196" t="s">
        <v>282</v>
      </c>
      <c r="E385" s="196" t="s">
        <v>324</v>
      </c>
      <c r="F385" s="195" t="s">
        <v>408</v>
      </c>
      <c r="G385" s="195" t="s">
        <v>434</v>
      </c>
    </row>
    <row r="386" spans="1:7">
      <c r="A386" s="194" t="s">
        <v>551</v>
      </c>
      <c r="B386" s="195">
        <v>91</v>
      </c>
      <c r="C386" s="195">
        <v>0</v>
      </c>
      <c r="D386" s="196" t="s">
        <v>282</v>
      </c>
      <c r="E386" s="196" t="s">
        <v>324</v>
      </c>
      <c r="F386" s="195" t="s">
        <v>393</v>
      </c>
      <c r="G386" s="195" t="s">
        <v>434</v>
      </c>
    </row>
    <row r="387" spans="1:7" hidden="1">
      <c r="A387" s="194" t="s">
        <v>552</v>
      </c>
      <c r="B387" s="195">
        <v>53</v>
      </c>
      <c r="C387" s="195">
        <v>0</v>
      </c>
      <c r="D387" s="196" t="s">
        <v>437</v>
      </c>
      <c r="E387" s="196" t="s">
        <v>553</v>
      </c>
      <c r="F387" s="195" t="s">
        <v>394</v>
      </c>
      <c r="G387" s="195" t="s">
        <v>434</v>
      </c>
    </row>
    <row r="388" spans="1:7">
      <c r="A388" s="194" t="s">
        <v>357</v>
      </c>
      <c r="B388" s="195">
        <v>51692</v>
      </c>
      <c r="C388" s="195">
        <v>0</v>
      </c>
      <c r="D388" s="196" t="s">
        <v>282</v>
      </c>
      <c r="E388" s="196" t="s">
        <v>320</v>
      </c>
      <c r="F388" s="195" t="s">
        <v>394</v>
      </c>
      <c r="G388" s="195" t="s">
        <v>434</v>
      </c>
    </row>
    <row r="389" spans="1:7">
      <c r="A389" s="194" t="s">
        <v>357</v>
      </c>
      <c r="B389" s="195">
        <v>-17601</v>
      </c>
      <c r="C389" s="195">
        <v>0</v>
      </c>
      <c r="D389" s="196" t="s">
        <v>282</v>
      </c>
      <c r="E389" s="196" t="s">
        <v>320</v>
      </c>
      <c r="F389" s="195" t="s">
        <v>393</v>
      </c>
      <c r="G389" s="195" t="s">
        <v>434</v>
      </c>
    </row>
    <row r="390" spans="1:7">
      <c r="A390" s="194" t="s">
        <v>357</v>
      </c>
      <c r="B390" s="195">
        <v>8336</v>
      </c>
      <c r="C390" s="195">
        <v>0</v>
      </c>
      <c r="D390" s="196" t="s">
        <v>282</v>
      </c>
      <c r="E390" s="196" t="s">
        <v>320</v>
      </c>
      <c r="F390" s="195" t="s">
        <v>413</v>
      </c>
      <c r="G390" s="195" t="s">
        <v>434</v>
      </c>
    </row>
    <row r="391" spans="1:7">
      <c r="A391" s="194" t="s">
        <v>357</v>
      </c>
      <c r="B391" s="195">
        <v>-42427</v>
      </c>
      <c r="C391" s="195">
        <v>0</v>
      </c>
      <c r="D391" s="196" t="s">
        <v>282</v>
      </c>
      <c r="E391" s="196" t="s">
        <v>320</v>
      </c>
      <c r="F391" s="195" t="s">
        <v>403</v>
      </c>
      <c r="G391" s="195" t="s">
        <v>434</v>
      </c>
    </row>
    <row r="392" spans="1:7" hidden="1">
      <c r="A392" s="194" t="s">
        <v>554</v>
      </c>
      <c r="B392" s="195">
        <v>-4319000</v>
      </c>
      <c r="C392" s="195">
        <v>0</v>
      </c>
      <c r="D392" s="196" t="s">
        <v>463</v>
      </c>
      <c r="E392" s="196" t="s">
        <v>464</v>
      </c>
      <c r="F392" s="195" t="s">
        <v>394</v>
      </c>
      <c r="G392" s="195" t="s">
        <v>434</v>
      </c>
    </row>
    <row r="393" spans="1:7" hidden="1">
      <c r="A393" s="194" t="s">
        <v>554</v>
      </c>
      <c r="B393" s="195">
        <v>2483000</v>
      </c>
      <c r="C393" s="195">
        <v>0</v>
      </c>
      <c r="D393" s="196" t="s">
        <v>463</v>
      </c>
      <c r="E393" s="196" t="s">
        <v>464</v>
      </c>
      <c r="F393" s="195" t="s">
        <v>413</v>
      </c>
      <c r="G393" s="195" t="s">
        <v>434</v>
      </c>
    </row>
    <row r="394" spans="1:7" hidden="1">
      <c r="A394" s="194" t="s">
        <v>554</v>
      </c>
      <c r="B394" s="195">
        <v>1836000</v>
      </c>
      <c r="C394" s="195">
        <v>0</v>
      </c>
      <c r="D394" s="196" t="s">
        <v>463</v>
      </c>
      <c r="E394" s="196" t="s">
        <v>464</v>
      </c>
      <c r="F394" s="195" t="s">
        <v>469</v>
      </c>
      <c r="G394" s="195" t="s">
        <v>434</v>
      </c>
    </row>
    <row r="395" spans="1:7">
      <c r="A395" s="194" t="s">
        <v>555</v>
      </c>
      <c r="B395" s="195">
        <v>-186</v>
      </c>
      <c r="C395" s="195">
        <v>0</v>
      </c>
      <c r="D395" s="196" t="s">
        <v>282</v>
      </c>
      <c r="E395" s="196" t="s">
        <v>319</v>
      </c>
      <c r="F395" s="195" t="s">
        <v>408</v>
      </c>
      <c r="G395" s="195" t="s">
        <v>434</v>
      </c>
    </row>
    <row r="396" spans="1:7">
      <c r="A396" s="194" t="s">
        <v>555</v>
      </c>
      <c r="B396" s="195">
        <v>186</v>
      </c>
      <c r="C396" s="195">
        <v>0</v>
      </c>
      <c r="D396" s="196" t="s">
        <v>282</v>
      </c>
      <c r="E396" s="196" t="s">
        <v>319</v>
      </c>
      <c r="F396" s="195" t="s">
        <v>393</v>
      </c>
      <c r="G396" s="195" t="s">
        <v>434</v>
      </c>
    </row>
    <row r="397" spans="1:7" hidden="1">
      <c r="A397" s="194" t="s">
        <v>138</v>
      </c>
      <c r="B397" s="195">
        <v>3014</v>
      </c>
      <c r="C397" s="195">
        <v>0</v>
      </c>
      <c r="D397" s="196" t="s">
        <v>283</v>
      </c>
      <c r="E397" s="196" t="s">
        <v>317</v>
      </c>
      <c r="F397" s="195" t="s">
        <v>394</v>
      </c>
      <c r="G397" s="195" t="s">
        <v>434</v>
      </c>
    </row>
    <row r="398" spans="1:7" hidden="1">
      <c r="A398" s="194" t="s">
        <v>138</v>
      </c>
      <c r="B398" s="195">
        <v>-3014</v>
      </c>
      <c r="C398" s="195">
        <v>0</v>
      </c>
      <c r="D398" s="196" t="s">
        <v>283</v>
      </c>
      <c r="E398" s="196" t="s">
        <v>317</v>
      </c>
      <c r="F398" s="195" t="s">
        <v>441</v>
      </c>
      <c r="G398" s="195" t="s">
        <v>434</v>
      </c>
    </row>
    <row r="399" spans="1:7">
      <c r="A399" s="194" t="s">
        <v>138</v>
      </c>
      <c r="B399" s="195">
        <v>-7904</v>
      </c>
      <c r="C399" s="195">
        <v>0</v>
      </c>
      <c r="D399" s="196" t="s">
        <v>282</v>
      </c>
      <c r="E399" s="196" t="s">
        <v>317</v>
      </c>
      <c r="F399" s="195" t="s">
        <v>394</v>
      </c>
      <c r="G399" s="195" t="s">
        <v>434</v>
      </c>
    </row>
    <row r="400" spans="1:7">
      <c r="A400" s="194" t="s">
        <v>138</v>
      </c>
      <c r="B400" s="195">
        <v>-3193</v>
      </c>
      <c r="C400" s="195">
        <v>0</v>
      </c>
      <c r="D400" s="196" t="s">
        <v>282</v>
      </c>
      <c r="E400" s="196" t="s">
        <v>317</v>
      </c>
      <c r="F400" s="195" t="s">
        <v>408</v>
      </c>
      <c r="G400" s="195" t="s">
        <v>434</v>
      </c>
    </row>
    <row r="401" spans="1:7">
      <c r="A401" s="194" t="s">
        <v>138</v>
      </c>
      <c r="B401" s="195">
        <v>15226</v>
      </c>
      <c r="C401" s="195">
        <v>0</v>
      </c>
      <c r="D401" s="196" t="s">
        <v>282</v>
      </c>
      <c r="E401" s="196" t="s">
        <v>317</v>
      </c>
      <c r="F401" s="195" t="s">
        <v>393</v>
      </c>
      <c r="G401" s="195" t="s">
        <v>434</v>
      </c>
    </row>
    <row r="402" spans="1:7">
      <c r="A402" s="194" t="s">
        <v>138</v>
      </c>
      <c r="B402" s="195">
        <v>-7143</v>
      </c>
      <c r="C402" s="195">
        <v>0</v>
      </c>
      <c r="D402" s="196" t="s">
        <v>282</v>
      </c>
      <c r="E402" s="196" t="s">
        <v>317</v>
      </c>
      <c r="F402" s="195" t="s">
        <v>403</v>
      </c>
      <c r="G402" s="195" t="s">
        <v>434</v>
      </c>
    </row>
    <row r="403" spans="1:7">
      <c r="A403" s="194" t="s">
        <v>138</v>
      </c>
      <c r="B403" s="195">
        <v>3014</v>
      </c>
      <c r="C403" s="195">
        <v>0</v>
      </c>
      <c r="D403" s="196" t="s">
        <v>282</v>
      </c>
      <c r="E403" s="196" t="s">
        <v>317</v>
      </c>
      <c r="F403" s="195" t="s">
        <v>441</v>
      </c>
      <c r="G403" s="195" t="s">
        <v>434</v>
      </c>
    </row>
    <row r="404" spans="1:7" hidden="1">
      <c r="A404" s="194" t="s">
        <v>556</v>
      </c>
      <c r="B404" s="195">
        <v>-72</v>
      </c>
      <c r="C404" s="195">
        <v>0</v>
      </c>
      <c r="D404" s="196" t="s">
        <v>283</v>
      </c>
      <c r="E404" s="196" t="s">
        <v>319</v>
      </c>
      <c r="F404" s="195" t="s">
        <v>394</v>
      </c>
      <c r="G404" s="195" t="s">
        <v>434</v>
      </c>
    </row>
    <row r="405" spans="1:7">
      <c r="A405" s="194" t="s">
        <v>556</v>
      </c>
      <c r="B405" s="195">
        <v>72</v>
      </c>
      <c r="C405" s="195">
        <v>0</v>
      </c>
      <c r="D405" s="196" t="s">
        <v>282</v>
      </c>
      <c r="E405" s="196" t="s">
        <v>319</v>
      </c>
      <c r="F405" s="195" t="s">
        <v>394</v>
      </c>
      <c r="G405" s="195" t="s">
        <v>434</v>
      </c>
    </row>
    <row r="406" spans="1:7">
      <c r="A406" s="194" t="s">
        <v>556</v>
      </c>
      <c r="B406" s="195">
        <v>-139</v>
      </c>
      <c r="C406" s="195">
        <v>0</v>
      </c>
      <c r="D406" s="196" t="s">
        <v>282</v>
      </c>
      <c r="E406" s="196" t="s">
        <v>319</v>
      </c>
      <c r="F406" s="195" t="s">
        <v>408</v>
      </c>
      <c r="G406" s="195" t="s">
        <v>434</v>
      </c>
    </row>
    <row r="407" spans="1:7" hidden="1">
      <c r="A407" s="194" t="s">
        <v>557</v>
      </c>
      <c r="B407" s="195">
        <v>-140</v>
      </c>
      <c r="C407" s="195">
        <v>0</v>
      </c>
      <c r="D407" s="196" t="s">
        <v>283</v>
      </c>
      <c r="E407" s="196" t="s">
        <v>319</v>
      </c>
      <c r="F407" s="195" t="s">
        <v>394</v>
      </c>
      <c r="G407" s="195" t="s">
        <v>434</v>
      </c>
    </row>
    <row r="408" spans="1:7">
      <c r="A408" s="194" t="s">
        <v>557</v>
      </c>
      <c r="B408" s="195">
        <v>140</v>
      </c>
      <c r="C408" s="195">
        <v>0</v>
      </c>
      <c r="D408" s="196" t="s">
        <v>282</v>
      </c>
      <c r="E408" s="196" t="s">
        <v>319</v>
      </c>
      <c r="F408" s="195" t="s">
        <v>394</v>
      </c>
      <c r="G408" s="195" t="s">
        <v>434</v>
      </c>
    </row>
    <row r="409" spans="1:7">
      <c r="A409" s="194" t="s">
        <v>557</v>
      </c>
      <c r="B409" s="195">
        <v>-279</v>
      </c>
      <c r="C409" s="195">
        <v>0</v>
      </c>
      <c r="D409" s="196" t="s">
        <v>282</v>
      </c>
      <c r="E409" s="196" t="s">
        <v>319</v>
      </c>
      <c r="F409" s="195" t="s">
        <v>408</v>
      </c>
      <c r="G409" s="195" t="s">
        <v>434</v>
      </c>
    </row>
    <row r="410" spans="1:7" hidden="1">
      <c r="A410" s="194" t="s">
        <v>558</v>
      </c>
      <c r="B410" s="195">
        <v>73</v>
      </c>
      <c r="C410" s="195">
        <v>0</v>
      </c>
      <c r="D410" s="196" t="s">
        <v>283</v>
      </c>
      <c r="E410" s="196" t="s">
        <v>319</v>
      </c>
      <c r="F410" s="195" t="s">
        <v>394</v>
      </c>
      <c r="G410" s="195" t="s">
        <v>434</v>
      </c>
    </row>
    <row r="411" spans="1:7">
      <c r="A411" s="194" t="s">
        <v>558</v>
      </c>
      <c r="B411" s="195">
        <v>-73</v>
      </c>
      <c r="C411" s="195">
        <v>0</v>
      </c>
      <c r="D411" s="196" t="s">
        <v>282</v>
      </c>
      <c r="E411" s="196" t="s">
        <v>319</v>
      </c>
      <c r="F411" s="195" t="s">
        <v>394</v>
      </c>
      <c r="G411" s="195" t="s">
        <v>434</v>
      </c>
    </row>
    <row r="412" spans="1:7">
      <c r="A412" s="194" t="s">
        <v>558</v>
      </c>
      <c r="B412" s="195">
        <v>138</v>
      </c>
      <c r="C412" s="195">
        <v>0</v>
      </c>
      <c r="D412" s="196" t="s">
        <v>282</v>
      </c>
      <c r="E412" s="196" t="s">
        <v>319</v>
      </c>
      <c r="F412" s="195" t="s">
        <v>408</v>
      </c>
      <c r="G412" s="195" t="s">
        <v>434</v>
      </c>
    </row>
    <row r="413" spans="1:7" hidden="1">
      <c r="A413" s="194" t="s">
        <v>559</v>
      </c>
      <c r="B413" s="195">
        <v>140</v>
      </c>
      <c r="C413" s="195">
        <v>0</v>
      </c>
      <c r="D413" s="196" t="s">
        <v>283</v>
      </c>
      <c r="E413" s="196" t="s">
        <v>319</v>
      </c>
      <c r="F413" s="195" t="s">
        <v>394</v>
      </c>
      <c r="G413" s="195" t="s">
        <v>434</v>
      </c>
    </row>
    <row r="414" spans="1:7">
      <c r="A414" s="194" t="s">
        <v>559</v>
      </c>
      <c r="B414" s="195">
        <v>-140</v>
      </c>
      <c r="C414" s="195">
        <v>0</v>
      </c>
      <c r="D414" s="196" t="s">
        <v>282</v>
      </c>
      <c r="E414" s="196" t="s">
        <v>319</v>
      </c>
      <c r="F414" s="195" t="s">
        <v>394</v>
      </c>
      <c r="G414" s="195" t="s">
        <v>434</v>
      </c>
    </row>
    <row r="415" spans="1:7">
      <c r="A415" s="194" t="s">
        <v>559</v>
      </c>
      <c r="B415" s="195">
        <v>279</v>
      </c>
      <c r="C415" s="195">
        <v>0</v>
      </c>
      <c r="D415" s="196" t="s">
        <v>282</v>
      </c>
      <c r="E415" s="196" t="s">
        <v>319</v>
      </c>
      <c r="F415" s="195" t="s">
        <v>408</v>
      </c>
      <c r="G415" s="195" t="s">
        <v>434</v>
      </c>
    </row>
    <row r="416" spans="1:7">
      <c r="A416" s="194" t="s">
        <v>560</v>
      </c>
      <c r="B416" s="195">
        <v>878</v>
      </c>
      <c r="C416" s="195">
        <v>0</v>
      </c>
      <c r="D416" s="196" t="s">
        <v>282</v>
      </c>
      <c r="E416" s="196" t="s">
        <v>319</v>
      </c>
      <c r="F416" s="195" t="s">
        <v>394</v>
      </c>
      <c r="G416" s="195" t="s">
        <v>434</v>
      </c>
    </row>
    <row r="417" spans="1:7">
      <c r="A417" s="194" t="s">
        <v>560</v>
      </c>
      <c r="B417" s="195">
        <v>-439</v>
      </c>
      <c r="C417" s="195">
        <v>0</v>
      </c>
      <c r="D417" s="196" t="s">
        <v>282</v>
      </c>
      <c r="E417" s="196" t="s">
        <v>319</v>
      </c>
      <c r="F417" s="195" t="s">
        <v>408</v>
      </c>
      <c r="G417" s="195" t="s">
        <v>434</v>
      </c>
    </row>
    <row r="418" spans="1:7">
      <c r="A418" s="194" t="s">
        <v>560</v>
      </c>
      <c r="B418" s="195">
        <v>-439</v>
      </c>
      <c r="C418" s="195">
        <v>0</v>
      </c>
      <c r="D418" s="196" t="s">
        <v>282</v>
      </c>
      <c r="E418" s="196" t="s">
        <v>319</v>
      </c>
      <c r="F418" s="195" t="s">
        <v>393</v>
      </c>
      <c r="G418" s="195" t="s">
        <v>434</v>
      </c>
    </row>
    <row r="419" spans="1:7" hidden="1">
      <c r="A419" s="194" t="s">
        <v>561</v>
      </c>
      <c r="B419" s="195">
        <v>-17</v>
      </c>
      <c r="C419" s="195">
        <v>0</v>
      </c>
      <c r="D419" s="196" t="s">
        <v>283</v>
      </c>
      <c r="E419" s="196" t="s">
        <v>319</v>
      </c>
      <c r="F419" s="195" t="s">
        <v>394</v>
      </c>
      <c r="G419" s="195" t="s">
        <v>434</v>
      </c>
    </row>
    <row r="420" spans="1:7" hidden="1">
      <c r="A420" s="194" t="s">
        <v>561</v>
      </c>
      <c r="B420" s="195">
        <v>17</v>
      </c>
      <c r="C420" s="195">
        <v>0</v>
      </c>
      <c r="D420" s="196" t="s">
        <v>283</v>
      </c>
      <c r="E420" s="196" t="s">
        <v>319</v>
      </c>
      <c r="F420" s="195" t="s">
        <v>408</v>
      </c>
      <c r="G420" s="195" t="s">
        <v>434</v>
      </c>
    </row>
    <row r="421" spans="1:7">
      <c r="A421" s="194" t="s">
        <v>561</v>
      </c>
      <c r="B421" s="195">
        <v>-458</v>
      </c>
      <c r="C421" s="195">
        <v>0</v>
      </c>
      <c r="D421" s="196" t="s">
        <v>282</v>
      </c>
      <c r="E421" s="196" t="s">
        <v>319</v>
      </c>
      <c r="F421" s="195" t="s">
        <v>394</v>
      </c>
      <c r="G421" s="195" t="s">
        <v>434</v>
      </c>
    </row>
    <row r="422" spans="1:7">
      <c r="A422" s="194" t="s">
        <v>561</v>
      </c>
      <c r="B422" s="195">
        <v>458</v>
      </c>
      <c r="C422" s="195">
        <v>0</v>
      </c>
      <c r="D422" s="196" t="s">
        <v>282</v>
      </c>
      <c r="E422" s="196" t="s">
        <v>319</v>
      </c>
      <c r="F422" s="195" t="s">
        <v>408</v>
      </c>
      <c r="G422" s="195" t="s">
        <v>434</v>
      </c>
    </row>
    <row r="423" spans="1:7">
      <c r="A423" s="194" t="s">
        <v>562</v>
      </c>
      <c r="B423" s="195">
        <v>-146</v>
      </c>
      <c r="C423" s="195">
        <v>0</v>
      </c>
      <c r="D423" s="196" t="s">
        <v>282</v>
      </c>
      <c r="E423" s="196" t="s">
        <v>319</v>
      </c>
      <c r="F423" s="195" t="s">
        <v>394</v>
      </c>
      <c r="G423" s="195" t="s">
        <v>434</v>
      </c>
    </row>
    <row r="424" spans="1:7">
      <c r="A424" s="194" t="s">
        <v>562</v>
      </c>
      <c r="B424" s="195">
        <v>54</v>
      </c>
      <c r="C424" s="195">
        <v>0</v>
      </c>
      <c r="D424" s="196" t="s">
        <v>282</v>
      </c>
      <c r="E424" s="196" t="s">
        <v>319</v>
      </c>
      <c r="F424" s="195" t="s">
        <v>408</v>
      </c>
      <c r="G424" s="195" t="s">
        <v>434</v>
      </c>
    </row>
    <row r="425" spans="1:7">
      <c r="A425" s="194" t="s">
        <v>562</v>
      </c>
      <c r="B425" s="195">
        <v>92</v>
      </c>
      <c r="C425" s="195">
        <v>0</v>
      </c>
      <c r="D425" s="196" t="s">
        <v>282</v>
      </c>
      <c r="E425" s="196" t="s">
        <v>319</v>
      </c>
      <c r="F425" s="195" t="s">
        <v>393</v>
      </c>
      <c r="G425" s="195" t="s">
        <v>434</v>
      </c>
    </row>
    <row r="426" spans="1:7">
      <c r="A426" s="194" t="s">
        <v>563</v>
      </c>
      <c r="B426" s="195">
        <v>296</v>
      </c>
      <c r="C426" s="195">
        <v>0</v>
      </c>
      <c r="D426" s="196" t="s">
        <v>282</v>
      </c>
      <c r="E426" s="196" t="s">
        <v>319</v>
      </c>
      <c r="F426" s="195" t="s">
        <v>394</v>
      </c>
      <c r="G426" s="195" t="s">
        <v>434</v>
      </c>
    </row>
    <row r="427" spans="1:7">
      <c r="A427" s="194" t="s">
        <v>563</v>
      </c>
      <c r="B427" s="195">
        <v>-296</v>
      </c>
      <c r="C427" s="195">
        <v>0</v>
      </c>
      <c r="D427" s="196" t="s">
        <v>282</v>
      </c>
      <c r="E427" s="196" t="s">
        <v>319</v>
      </c>
      <c r="F427" s="195" t="s">
        <v>408</v>
      </c>
      <c r="G427" s="195" t="s">
        <v>434</v>
      </c>
    </row>
    <row r="428" spans="1:7">
      <c r="A428" s="194" t="s">
        <v>564</v>
      </c>
      <c r="B428" s="195">
        <v>-296</v>
      </c>
      <c r="C428" s="195">
        <v>0</v>
      </c>
      <c r="D428" s="196" t="s">
        <v>282</v>
      </c>
      <c r="E428" s="196" t="s">
        <v>319</v>
      </c>
      <c r="F428" s="195" t="s">
        <v>394</v>
      </c>
      <c r="G428" s="195" t="s">
        <v>434</v>
      </c>
    </row>
    <row r="429" spans="1:7">
      <c r="A429" s="194" t="s">
        <v>564</v>
      </c>
      <c r="B429" s="195">
        <v>296</v>
      </c>
      <c r="C429" s="195">
        <v>0</v>
      </c>
      <c r="D429" s="196" t="s">
        <v>282</v>
      </c>
      <c r="E429" s="196" t="s">
        <v>319</v>
      </c>
      <c r="F429" s="195" t="s">
        <v>408</v>
      </c>
      <c r="G429" s="195" t="s">
        <v>434</v>
      </c>
    </row>
    <row r="430" spans="1:7">
      <c r="A430" s="194" t="s">
        <v>90</v>
      </c>
      <c r="B430" s="195">
        <v>13985</v>
      </c>
      <c r="C430" s="195">
        <v>0</v>
      </c>
      <c r="D430" s="196" t="s">
        <v>282</v>
      </c>
      <c r="E430" s="196" t="s">
        <v>317</v>
      </c>
      <c r="F430" s="195" t="s">
        <v>394</v>
      </c>
      <c r="G430" s="195" t="s">
        <v>434</v>
      </c>
    </row>
    <row r="431" spans="1:7">
      <c r="A431" s="194" t="s">
        <v>90</v>
      </c>
      <c r="B431" s="195">
        <v>-7085</v>
      </c>
      <c r="C431" s="195">
        <v>0</v>
      </c>
      <c r="D431" s="196" t="s">
        <v>282</v>
      </c>
      <c r="E431" s="196" t="s">
        <v>317</v>
      </c>
      <c r="F431" s="195" t="s">
        <v>445</v>
      </c>
      <c r="G431" s="195" t="s">
        <v>434</v>
      </c>
    </row>
    <row r="432" spans="1:7">
      <c r="A432" s="194" t="s">
        <v>90</v>
      </c>
      <c r="B432" s="195">
        <v>825</v>
      </c>
      <c r="C432" s="195">
        <v>0</v>
      </c>
      <c r="D432" s="196" t="s">
        <v>282</v>
      </c>
      <c r="E432" s="196" t="s">
        <v>317</v>
      </c>
      <c r="F432" s="195" t="s">
        <v>393</v>
      </c>
      <c r="G432" s="195" t="s">
        <v>434</v>
      </c>
    </row>
    <row r="433" spans="1:7">
      <c r="A433" s="194" t="s">
        <v>90</v>
      </c>
      <c r="B433" s="195">
        <v>2966</v>
      </c>
      <c r="C433" s="195">
        <v>0</v>
      </c>
      <c r="D433" s="196" t="s">
        <v>282</v>
      </c>
      <c r="E433" s="196" t="s">
        <v>317</v>
      </c>
      <c r="F433" s="195" t="s">
        <v>413</v>
      </c>
      <c r="G433" s="195" t="s">
        <v>434</v>
      </c>
    </row>
    <row r="434" spans="1:7">
      <c r="A434" s="194" t="s">
        <v>90</v>
      </c>
      <c r="B434" s="195">
        <v>-5559</v>
      </c>
      <c r="C434" s="195">
        <v>0</v>
      </c>
      <c r="D434" s="196" t="s">
        <v>282</v>
      </c>
      <c r="E434" s="196" t="s">
        <v>317</v>
      </c>
      <c r="F434" s="195" t="s">
        <v>403</v>
      </c>
      <c r="G434" s="195" t="s">
        <v>434</v>
      </c>
    </row>
    <row r="435" spans="1:7">
      <c r="A435" s="194" t="s">
        <v>90</v>
      </c>
      <c r="B435" s="195">
        <v>-5132</v>
      </c>
      <c r="C435" s="195">
        <v>0</v>
      </c>
      <c r="D435" s="196" t="s">
        <v>282</v>
      </c>
      <c r="E435" s="196" t="s">
        <v>317</v>
      </c>
      <c r="F435" s="195" t="s">
        <v>449</v>
      </c>
      <c r="G435" s="195" t="s">
        <v>434</v>
      </c>
    </row>
    <row r="436" spans="1:7" hidden="1">
      <c r="A436" s="194" t="s">
        <v>90</v>
      </c>
      <c r="B436" s="195">
        <v>1444</v>
      </c>
      <c r="C436" s="195">
        <v>0</v>
      </c>
      <c r="D436" s="196" t="s">
        <v>442</v>
      </c>
      <c r="E436" s="196" t="s">
        <v>317</v>
      </c>
      <c r="F436" s="195" t="s">
        <v>394</v>
      </c>
      <c r="G436" s="195" t="s">
        <v>434</v>
      </c>
    </row>
    <row r="437" spans="1:7">
      <c r="A437" s="194" t="s">
        <v>565</v>
      </c>
      <c r="B437" s="195">
        <v>93</v>
      </c>
      <c r="C437" s="195">
        <v>0</v>
      </c>
      <c r="D437" s="196" t="s">
        <v>282</v>
      </c>
      <c r="E437" s="196" t="s">
        <v>319</v>
      </c>
      <c r="F437" s="195" t="s">
        <v>394</v>
      </c>
      <c r="G437" s="195" t="s">
        <v>434</v>
      </c>
    </row>
    <row r="438" spans="1:7">
      <c r="A438" s="194" t="s">
        <v>565</v>
      </c>
      <c r="B438" s="195">
        <v>-93</v>
      </c>
      <c r="C438" s="195">
        <v>0</v>
      </c>
      <c r="D438" s="196" t="s">
        <v>282</v>
      </c>
      <c r="E438" s="196" t="s">
        <v>319</v>
      </c>
      <c r="F438" s="195" t="s">
        <v>393</v>
      </c>
      <c r="G438" s="195" t="s">
        <v>434</v>
      </c>
    </row>
    <row r="439" spans="1:7">
      <c r="A439" s="194" t="s">
        <v>566</v>
      </c>
      <c r="B439" s="195">
        <v>-93</v>
      </c>
      <c r="C439" s="195">
        <v>0</v>
      </c>
      <c r="D439" s="196" t="s">
        <v>282</v>
      </c>
      <c r="E439" s="196" t="s">
        <v>319</v>
      </c>
      <c r="F439" s="195" t="s">
        <v>394</v>
      </c>
      <c r="G439" s="195" t="s">
        <v>434</v>
      </c>
    </row>
    <row r="440" spans="1:7">
      <c r="A440" s="194" t="s">
        <v>566</v>
      </c>
      <c r="B440" s="195">
        <v>93</v>
      </c>
      <c r="C440" s="195">
        <v>0</v>
      </c>
      <c r="D440" s="196" t="s">
        <v>282</v>
      </c>
      <c r="E440" s="196" t="s">
        <v>319</v>
      </c>
      <c r="F440" s="195" t="s">
        <v>393</v>
      </c>
      <c r="G440" s="195" t="s">
        <v>434</v>
      </c>
    </row>
    <row r="441" spans="1:7" hidden="1">
      <c r="A441" s="194" t="s">
        <v>567</v>
      </c>
      <c r="B441" s="195">
        <v>-3</v>
      </c>
      <c r="C441" s="195">
        <v>0</v>
      </c>
      <c r="D441" s="196" t="s">
        <v>283</v>
      </c>
      <c r="E441" s="196" t="s">
        <v>319</v>
      </c>
      <c r="F441" s="195" t="s">
        <v>394</v>
      </c>
      <c r="G441" s="195" t="s">
        <v>434</v>
      </c>
    </row>
    <row r="442" spans="1:7">
      <c r="A442" s="194" t="s">
        <v>567</v>
      </c>
      <c r="B442" s="195">
        <v>327</v>
      </c>
      <c r="C442" s="195">
        <v>0</v>
      </c>
      <c r="D442" s="196" t="s">
        <v>282</v>
      </c>
      <c r="E442" s="196" t="s">
        <v>319</v>
      </c>
      <c r="F442" s="195" t="s">
        <v>394</v>
      </c>
      <c r="G442" s="195" t="s">
        <v>434</v>
      </c>
    </row>
    <row r="443" spans="1:7">
      <c r="A443" s="194" t="s">
        <v>567</v>
      </c>
      <c r="B443" s="195">
        <v>-324</v>
      </c>
      <c r="C443" s="195">
        <v>0</v>
      </c>
      <c r="D443" s="196" t="s">
        <v>282</v>
      </c>
      <c r="E443" s="196" t="s">
        <v>319</v>
      </c>
      <c r="F443" s="195" t="s">
        <v>393</v>
      </c>
      <c r="G443" s="195" t="s">
        <v>434</v>
      </c>
    </row>
    <row r="444" spans="1:7" hidden="1">
      <c r="A444" s="194" t="s">
        <v>568</v>
      </c>
      <c r="B444" s="195">
        <v>3</v>
      </c>
      <c r="C444" s="195">
        <v>0</v>
      </c>
      <c r="D444" s="196" t="s">
        <v>283</v>
      </c>
      <c r="E444" s="196" t="s">
        <v>319</v>
      </c>
      <c r="F444" s="195" t="s">
        <v>394</v>
      </c>
      <c r="G444" s="195" t="s">
        <v>434</v>
      </c>
    </row>
    <row r="445" spans="1:7">
      <c r="A445" s="194" t="s">
        <v>568</v>
      </c>
      <c r="B445" s="195">
        <v>-327</v>
      </c>
      <c r="C445" s="195">
        <v>0</v>
      </c>
      <c r="D445" s="196" t="s">
        <v>282</v>
      </c>
      <c r="E445" s="196" t="s">
        <v>319</v>
      </c>
      <c r="F445" s="195" t="s">
        <v>394</v>
      </c>
      <c r="G445" s="195" t="s">
        <v>434</v>
      </c>
    </row>
    <row r="446" spans="1:7">
      <c r="A446" s="194" t="s">
        <v>568</v>
      </c>
      <c r="B446" s="195">
        <v>324</v>
      </c>
      <c r="C446" s="195">
        <v>0</v>
      </c>
      <c r="D446" s="196" t="s">
        <v>282</v>
      </c>
      <c r="E446" s="196" t="s">
        <v>319</v>
      </c>
      <c r="F446" s="195" t="s">
        <v>393</v>
      </c>
      <c r="G446" s="195" t="s">
        <v>434</v>
      </c>
    </row>
    <row r="447" spans="1:7">
      <c r="A447" s="194" t="s">
        <v>569</v>
      </c>
      <c r="B447" s="195">
        <v>18219</v>
      </c>
      <c r="C447" s="195">
        <v>0</v>
      </c>
      <c r="D447" s="196" t="s">
        <v>282</v>
      </c>
      <c r="E447" s="196" t="s">
        <v>317</v>
      </c>
      <c r="F447" s="195" t="s">
        <v>445</v>
      </c>
      <c r="G447" s="195" t="s">
        <v>434</v>
      </c>
    </row>
    <row r="448" spans="1:7">
      <c r="A448" s="194" t="s">
        <v>569</v>
      </c>
      <c r="B448" s="195">
        <v>-18219</v>
      </c>
      <c r="C448" s="195">
        <v>0</v>
      </c>
      <c r="D448" s="196" t="s">
        <v>282</v>
      </c>
      <c r="E448" s="196" t="s">
        <v>317</v>
      </c>
      <c r="F448" s="195" t="s">
        <v>393</v>
      </c>
      <c r="G448" s="195" t="s">
        <v>434</v>
      </c>
    </row>
    <row r="449" spans="1:7" hidden="1">
      <c r="A449" s="194" t="s">
        <v>570</v>
      </c>
      <c r="B449" s="195">
        <v>-19825000</v>
      </c>
      <c r="C449" s="195">
        <v>0</v>
      </c>
      <c r="D449" s="196" t="s">
        <v>463</v>
      </c>
      <c r="E449" s="196" t="s">
        <v>464</v>
      </c>
      <c r="F449" s="195" t="s">
        <v>394</v>
      </c>
      <c r="G449" s="195" t="s">
        <v>434</v>
      </c>
    </row>
    <row r="450" spans="1:7" hidden="1">
      <c r="A450" s="194" t="s">
        <v>570</v>
      </c>
      <c r="B450" s="195">
        <v>1000000</v>
      </c>
      <c r="C450" s="195">
        <v>0</v>
      </c>
      <c r="D450" s="196" t="s">
        <v>463</v>
      </c>
      <c r="E450" s="196" t="s">
        <v>464</v>
      </c>
      <c r="F450" s="195" t="s">
        <v>468</v>
      </c>
      <c r="G450" s="195" t="s">
        <v>434</v>
      </c>
    </row>
    <row r="451" spans="1:7" hidden="1">
      <c r="A451" s="194" t="s">
        <v>570</v>
      </c>
      <c r="B451" s="195">
        <v>-1648000</v>
      </c>
      <c r="C451" s="195">
        <v>0</v>
      </c>
      <c r="D451" s="196" t="s">
        <v>463</v>
      </c>
      <c r="E451" s="196" t="s">
        <v>464</v>
      </c>
      <c r="F451" s="195" t="s">
        <v>413</v>
      </c>
      <c r="G451" s="195" t="s">
        <v>434</v>
      </c>
    </row>
    <row r="452" spans="1:7" hidden="1">
      <c r="A452" s="194" t="s">
        <v>570</v>
      </c>
      <c r="B452" s="195">
        <v>20000000</v>
      </c>
      <c r="C452" s="195">
        <v>0</v>
      </c>
      <c r="D452" s="196" t="s">
        <v>463</v>
      </c>
      <c r="E452" s="196" t="s">
        <v>464</v>
      </c>
      <c r="F452" s="195" t="s">
        <v>449</v>
      </c>
      <c r="G452" s="195" t="s">
        <v>434</v>
      </c>
    </row>
    <row r="453" spans="1:7" hidden="1">
      <c r="A453" s="194" t="s">
        <v>570</v>
      </c>
      <c r="B453" s="195">
        <v>473000</v>
      </c>
      <c r="C453" s="195">
        <v>0</v>
      </c>
      <c r="D453" s="196" t="s">
        <v>463</v>
      </c>
      <c r="E453" s="196" t="s">
        <v>464</v>
      </c>
      <c r="F453" s="195" t="s">
        <v>469</v>
      </c>
      <c r="G453" s="195" t="s">
        <v>434</v>
      </c>
    </row>
    <row r="454" spans="1:7" hidden="1">
      <c r="A454" s="194" t="s">
        <v>571</v>
      </c>
      <c r="B454" s="195">
        <v>-3093000</v>
      </c>
      <c r="C454" s="195">
        <v>0</v>
      </c>
      <c r="D454" s="196" t="s">
        <v>463</v>
      </c>
      <c r="E454" s="196" t="s">
        <v>464</v>
      </c>
      <c r="F454" s="195" t="s">
        <v>394</v>
      </c>
      <c r="G454" s="195" t="s">
        <v>434</v>
      </c>
    </row>
    <row r="455" spans="1:7" hidden="1">
      <c r="A455" s="194" t="s">
        <v>571</v>
      </c>
      <c r="B455" s="195">
        <v>500000</v>
      </c>
      <c r="C455" s="195">
        <v>0</v>
      </c>
      <c r="D455" s="196" t="s">
        <v>463</v>
      </c>
      <c r="E455" s="196" t="s">
        <v>464</v>
      </c>
      <c r="F455" s="195" t="s">
        <v>468</v>
      </c>
      <c r="G455" s="195" t="s">
        <v>434</v>
      </c>
    </row>
    <row r="456" spans="1:7" hidden="1">
      <c r="A456" s="194" t="s">
        <v>571</v>
      </c>
      <c r="B456" s="195">
        <v>1000000</v>
      </c>
      <c r="C456" s="195">
        <v>0</v>
      </c>
      <c r="D456" s="196" t="s">
        <v>463</v>
      </c>
      <c r="E456" s="196" t="s">
        <v>464</v>
      </c>
      <c r="F456" s="195" t="s">
        <v>413</v>
      </c>
      <c r="G456" s="195" t="s">
        <v>434</v>
      </c>
    </row>
    <row r="457" spans="1:7" hidden="1">
      <c r="A457" s="194" t="s">
        <v>571</v>
      </c>
      <c r="B457" s="195">
        <v>3600000</v>
      </c>
      <c r="C457" s="195">
        <v>0</v>
      </c>
      <c r="D457" s="196" t="s">
        <v>463</v>
      </c>
      <c r="E457" s="196" t="s">
        <v>464</v>
      </c>
      <c r="F457" s="195" t="s">
        <v>449</v>
      </c>
      <c r="G457" s="195" t="s">
        <v>434</v>
      </c>
    </row>
    <row r="458" spans="1:7" hidden="1">
      <c r="A458" s="194" t="s">
        <v>571</v>
      </c>
      <c r="B458" s="195">
        <v>-2007000</v>
      </c>
      <c r="C458" s="195">
        <v>0</v>
      </c>
      <c r="D458" s="196" t="s">
        <v>463</v>
      </c>
      <c r="E458" s="196" t="s">
        <v>464</v>
      </c>
      <c r="F458" s="195" t="s">
        <v>469</v>
      </c>
      <c r="G458" s="195" t="s">
        <v>434</v>
      </c>
    </row>
    <row r="459" spans="1:7" hidden="1">
      <c r="A459" s="194" t="s">
        <v>347</v>
      </c>
      <c r="B459" s="195">
        <v>232</v>
      </c>
      <c r="C459" s="195">
        <v>0</v>
      </c>
      <c r="D459" s="196" t="s">
        <v>283</v>
      </c>
      <c r="E459" s="196" t="s">
        <v>317</v>
      </c>
      <c r="F459" s="195" t="s">
        <v>394</v>
      </c>
      <c r="G459" s="195" t="s">
        <v>434</v>
      </c>
    </row>
    <row r="460" spans="1:7" hidden="1">
      <c r="A460" s="194" t="s">
        <v>347</v>
      </c>
      <c r="B460" s="195">
        <v>-232</v>
      </c>
      <c r="C460" s="195">
        <v>0</v>
      </c>
      <c r="D460" s="196" t="s">
        <v>283</v>
      </c>
      <c r="E460" s="196" t="s">
        <v>317</v>
      </c>
      <c r="F460" s="195" t="s">
        <v>441</v>
      </c>
      <c r="G460" s="195" t="s">
        <v>434</v>
      </c>
    </row>
    <row r="461" spans="1:7">
      <c r="A461" s="194" t="s">
        <v>347</v>
      </c>
      <c r="B461" s="195">
        <v>607</v>
      </c>
      <c r="C461" s="195">
        <v>0</v>
      </c>
      <c r="D461" s="196" t="s">
        <v>282</v>
      </c>
      <c r="E461" s="196" t="s">
        <v>317</v>
      </c>
      <c r="F461" s="195" t="s">
        <v>394</v>
      </c>
      <c r="G461" s="195" t="s">
        <v>434</v>
      </c>
    </row>
    <row r="462" spans="1:7">
      <c r="A462" s="194" t="s">
        <v>347</v>
      </c>
      <c r="B462" s="195">
        <v>-839</v>
      </c>
      <c r="C462" s="195">
        <v>0</v>
      </c>
      <c r="D462" s="196" t="s">
        <v>282</v>
      </c>
      <c r="E462" s="196" t="s">
        <v>317</v>
      </c>
      <c r="F462" s="195" t="s">
        <v>393</v>
      </c>
      <c r="G462" s="195" t="s">
        <v>434</v>
      </c>
    </row>
    <row r="463" spans="1:7">
      <c r="A463" s="194" t="s">
        <v>347</v>
      </c>
      <c r="B463" s="195">
        <v>232</v>
      </c>
      <c r="C463" s="195">
        <v>0</v>
      </c>
      <c r="D463" s="196" t="s">
        <v>282</v>
      </c>
      <c r="E463" s="196" t="s">
        <v>317</v>
      </c>
      <c r="F463" s="195" t="s">
        <v>441</v>
      </c>
      <c r="G463" s="195" t="s">
        <v>434</v>
      </c>
    </row>
    <row r="464" spans="1:7">
      <c r="A464" s="194" t="s">
        <v>572</v>
      </c>
      <c r="B464" s="195">
        <v>46</v>
      </c>
      <c r="C464" s="195">
        <v>0</v>
      </c>
      <c r="D464" s="196" t="s">
        <v>282</v>
      </c>
      <c r="E464" s="196" t="s">
        <v>319</v>
      </c>
      <c r="F464" s="195" t="s">
        <v>394</v>
      </c>
      <c r="G464" s="195" t="s">
        <v>434</v>
      </c>
    </row>
    <row r="465" spans="1:7">
      <c r="A465" s="194" t="s">
        <v>572</v>
      </c>
      <c r="B465" s="195">
        <v>-46</v>
      </c>
      <c r="C465" s="195">
        <v>0</v>
      </c>
      <c r="D465" s="196" t="s">
        <v>282</v>
      </c>
      <c r="E465" s="196" t="s">
        <v>319</v>
      </c>
      <c r="F465" s="195" t="s">
        <v>408</v>
      </c>
      <c r="G465" s="195" t="s">
        <v>434</v>
      </c>
    </row>
    <row r="466" spans="1:7">
      <c r="A466" s="194" t="s">
        <v>573</v>
      </c>
      <c r="B466" s="195">
        <v>-46</v>
      </c>
      <c r="C466" s="195">
        <v>0</v>
      </c>
      <c r="D466" s="196" t="s">
        <v>282</v>
      </c>
      <c r="E466" s="196" t="s">
        <v>319</v>
      </c>
      <c r="F466" s="195" t="s">
        <v>394</v>
      </c>
      <c r="G466" s="195" t="s">
        <v>434</v>
      </c>
    </row>
    <row r="467" spans="1:7">
      <c r="A467" s="194" t="s">
        <v>573</v>
      </c>
      <c r="B467" s="195">
        <v>46</v>
      </c>
      <c r="C467" s="195">
        <v>0</v>
      </c>
      <c r="D467" s="196" t="s">
        <v>282</v>
      </c>
      <c r="E467" s="196" t="s">
        <v>319</v>
      </c>
      <c r="F467" s="195" t="s">
        <v>408</v>
      </c>
      <c r="G467" s="195" t="s">
        <v>434</v>
      </c>
    </row>
    <row r="468" spans="1:7" hidden="1">
      <c r="A468" s="194" t="s">
        <v>574</v>
      </c>
      <c r="B468" s="195">
        <v>61536</v>
      </c>
      <c r="C468" s="195">
        <v>0</v>
      </c>
      <c r="D468" s="196" t="s">
        <v>440</v>
      </c>
      <c r="E468" s="196" t="s">
        <v>39</v>
      </c>
      <c r="F468" s="195" t="s">
        <v>394</v>
      </c>
      <c r="G468" s="195" t="s">
        <v>434</v>
      </c>
    </row>
    <row r="469" spans="1:7" hidden="1">
      <c r="A469" s="194" t="s">
        <v>574</v>
      </c>
      <c r="B469" s="195">
        <v>-61536</v>
      </c>
      <c r="C469" s="195">
        <v>0</v>
      </c>
      <c r="D469" s="196" t="s">
        <v>440</v>
      </c>
      <c r="E469" s="196" t="s">
        <v>39</v>
      </c>
      <c r="F469" s="195" t="s">
        <v>402</v>
      </c>
      <c r="G469" s="195" t="s">
        <v>434</v>
      </c>
    </row>
    <row r="470" spans="1:7" hidden="1">
      <c r="A470" s="194" t="s">
        <v>575</v>
      </c>
      <c r="B470" s="195">
        <v>467100</v>
      </c>
      <c r="C470" s="195">
        <v>0</v>
      </c>
      <c r="D470" s="196" t="s">
        <v>440</v>
      </c>
      <c r="E470" s="196" t="s">
        <v>317</v>
      </c>
      <c r="F470" s="195" t="s">
        <v>394</v>
      </c>
      <c r="G470" s="195" t="s">
        <v>434</v>
      </c>
    </row>
    <row r="471" spans="1:7" hidden="1">
      <c r="A471" s="194" t="s">
        <v>575</v>
      </c>
      <c r="B471" s="195">
        <v>-100</v>
      </c>
      <c r="C471" s="195">
        <v>0</v>
      </c>
      <c r="D471" s="196" t="s">
        <v>440</v>
      </c>
      <c r="E471" s="196" t="s">
        <v>317</v>
      </c>
      <c r="F471" s="195" t="s">
        <v>397</v>
      </c>
      <c r="G471" s="195" t="s">
        <v>434</v>
      </c>
    </row>
    <row r="472" spans="1:7" hidden="1">
      <c r="A472" s="194" t="s">
        <v>575</v>
      </c>
      <c r="B472" s="195">
        <v>-280000</v>
      </c>
      <c r="C472" s="195">
        <v>0</v>
      </c>
      <c r="D472" s="196" t="s">
        <v>440</v>
      </c>
      <c r="E472" s="196" t="s">
        <v>317</v>
      </c>
      <c r="F472" s="195" t="s">
        <v>405</v>
      </c>
      <c r="G472" s="195" t="s">
        <v>434</v>
      </c>
    </row>
    <row r="473" spans="1:7" hidden="1">
      <c r="A473" s="194" t="s">
        <v>575</v>
      </c>
      <c r="B473" s="195">
        <v>-200000</v>
      </c>
      <c r="C473" s="195">
        <v>0</v>
      </c>
      <c r="D473" s="196" t="s">
        <v>440</v>
      </c>
      <c r="E473" s="196" t="s">
        <v>317</v>
      </c>
      <c r="F473" s="195" t="s">
        <v>393</v>
      </c>
      <c r="G473" s="195" t="s">
        <v>434</v>
      </c>
    </row>
    <row r="474" spans="1:7" hidden="1">
      <c r="A474" s="194" t="s">
        <v>575</v>
      </c>
      <c r="B474" s="195">
        <v>200000</v>
      </c>
      <c r="C474" s="195">
        <v>0</v>
      </c>
      <c r="D474" s="196" t="s">
        <v>440</v>
      </c>
      <c r="E474" s="196" t="s">
        <v>317</v>
      </c>
      <c r="F474" s="195" t="s">
        <v>410</v>
      </c>
      <c r="G474" s="195" t="s">
        <v>434</v>
      </c>
    </row>
    <row r="475" spans="1:7" hidden="1">
      <c r="A475" s="194" t="s">
        <v>575</v>
      </c>
      <c r="B475" s="195">
        <v>-400000</v>
      </c>
      <c r="C475" s="195">
        <v>0</v>
      </c>
      <c r="D475" s="196" t="s">
        <v>440</v>
      </c>
      <c r="E475" s="196" t="s">
        <v>317</v>
      </c>
      <c r="F475" s="195" t="s">
        <v>411</v>
      </c>
      <c r="G475" s="195" t="s">
        <v>434</v>
      </c>
    </row>
    <row r="476" spans="1:7" hidden="1">
      <c r="A476" s="194" t="s">
        <v>575</v>
      </c>
      <c r="B476" s="195">
        <v>213000</v>
      </c>
      <c r="C476" s="195">
        <v>0</v>
      </c>
      <c r="D476" s="196" t="s">
        <v>440</v>
      </c>
      <c r="E476" s="196" t="s">
        <v>317</v>
      </c>
      <c r="F476" s="195" t="s">
        <v>402</v>
      </c>
      <c r="G476" s="195" t="s">
        <v>434</v>
      </c>
    </row>
    <row r="477" spans="1:7" hidden="1">
      <c r="A477" s="194" t="s">
        <v>94</v>
      </c>
      <c r="B477" s="195">
        <v>3366</v>
      </c>
      <c r="C477" s="195">
        <v>0</v>
      </c>
      <c r="D477" s="196" t="s">
        <v>283</v>
      </c>
      <c r="E477" s="196" t="s">
        <v>317</v>
      </c>
      <c r="F477" s="195" t="s">
        <v>394</v>
      </c>
      <c r="G477" s="195" t="s">
        <v>434</v>
      </c>
    </row>
    <row r="478" spans="1:7" hidden="1">
      <c r="A478" s="194" t="s">
        <v>94</v>
      </c>
      <c r="B478" s="195">
        <v>809</v>
      </c>
      <c r="C478" s="195">
        <v>0</v>
      </c>
      <c r="D478" s="196" t="s">
        <v>283</v>
      </c>
      <c r="E478" s="196" t="s">
        <v>317</v>
      </c>
      <c r="F478" s="195" t="s">
        <v>393</v>
      </c>
      <c r="G478" s="195" t="s">
        <v>434</v>
      </c>
    </row>
    <row r="479" spans="1:7" hidden="1">
      <c r="A479" s="194" t="s">
        <v>94</v>
      </c>
      <c r="B479" s="195">
        <v>-11822</v>
      </c>
      <c r="C479" s="195">
        <v>0</v>
      </c>
      <c r="D479" s="196" t="s">
        <v>283</v>
      </c>
      <c r="E479" s="196" t="s">
        <v>317</v>
      </c>
      <c r="F479" s="195" t="s">
        <v>441</v>
      </c>
      <c r="G479" s="195" t="s">
        <v>434</v>
      </c>
    </row>
    <row r="480" spans="1:7" hidden="1">
      <c r="A480" s="194" t="s">
        <v>94</v>
      </c>
      <c r="B480" s="195">
        <v>7637</v>
      </c>
      <c r="C480" s="195">
        <v>0</v>
      </c>
      <c r="D480" s="196" t="s">
        <v>283</v>
      </c>
      <c r="E480" s="196" t="s">
        <v>317</v>
      </c>
      <c r="F480" s="195" t="s">
        <v>411</v>
      </c>
      <c r="G480" s="195" t="s">
        <v>434</v>
      </c>
    </row>
    <row r="481" spans="1:7">
      <c r="A481" s="194" t="s">
        <v>94</v>
      </c>
      <c r="B481" s="195">
        <v>-75626</v>
      </c>
      <c r="C481" s="195">
        <v>0</v>
      </c>
      <c r="D481" s="196" t="s">
        <v>282</v>
      </c>
      <c r="E481" s="196" t="s">
        <v>317</v>
      </c>
      <c r="F481" s="195" t="s">
        <v>394</v>
      </c>
      <c r="G481" s="195" t="s">
        <v>434</v>
      </c>
    </row>
    <row r="482" spans="1:7">
      <c r="A482" s="194" t="s">
        <v>94</v>
      </c>
      <c r="B482" s="195">
        <v>-8501</v>
      </c>
      <c r="C482" s="195">
        <v>0</v>
      </c>
      <c r="D482" s="196" t="s">
        <v>282</v>
      </c>
      <c r="E482" s="196" t="s">
        <v>317</v>
      </c>
      <c r="F482" s="195" t="s">
        <v>445</v>
      </c>
      <c r="G482" s="195" t="s">
        <v>434</v>
      </c>
    </row>
    <row r="483" spans="1:7">
      <c r="A483" s="194" t="s">
        <v>94</v>
      </c>
      <c r="B483" s="195">
        <v>32926</v>
      </c>
      <c r="C483" s="195">
        <v>0</v>
      </c>
      <c r="D483" s="196" t="s">
        <v>282</v>
      </c>
      <c r="E483" s="196" t="s">
        <v>317</v>
      </c>
      <c r="F483" s="195" t="s">
        <v>408</v>
      </c>
      <c r="G483" s="195" t="s">
        <v>434</v>
      </c>
    </row>
    <row r="484" spans="1:7">
      <c r="A484" s="194" t="s">
        <v>94</v>
      </c>
      <c r="B484" s="195">
        <v>33141</v>
      </c>
      <c r="C484" s="195">
        <v>0</v>
      </c>
      <c r="D484" s="196" t="s">
        <v>282</v>
      </c>
      <c r="E484" s="196" t="s">
        <v>317</v>
      </c>
      <c r="F484" s="195" t="s">
        <v>393</v>
      </c>
      <c r="G484" s="195" t="s">
        <v>434</v>
      </c>
    </row>
    <row r="485" spans="1:7">
      <c r="A485" s="194" t="s">
        <v>94</v>
      </c>
      <c r="B485" s="195">
        <v>4177</v>
      </c>
      <c r="C485" s="195">
        <v>0</v>
      </c>
      <c r="D485" s="196" t="s">
        <v>282</v>
      </c>
      <c r="E485" s="196" t="s">
        <v>317</v>
      </c>
      <c r="F485" s="195" t="s">
        <v>413</v>
      </c>
      <c r="G485" s="195" t="s">
        <v>434</v>
      </c>
    </row>
    <row r="486" spans="1:7">
      <c r="A486" s="194" t="s">
        <v>94</v>
      </c>
      <c r="B486" s="195">
        <v>-5566</v>
      </c>
      <c r="C486" s="195">
        <v>0</v>
      </c>
      <c r="D486" s="196" t="s">
        <v>282</v>
      </c>
      <c r="E486" s="196" t="s">
        <v>317</v>
      </c>
      <c r="F486" s="195" t="s">
        <v>403</v>
      </c>
      <c r="G486" s="195" t="s">
        <v>434</v>
      </c>
    </row>
    <row r="487" spans="1:7">
      <c r="A487" s="194" t="s">
        <v>94</v>
      </c>
      <c r="B487" s="195">
        <v>11822</v>
      </c>
      <c r="C487" s="195">
        <v>0</v>
      </c>
      <c r="D487" s="196" t="s">
        <v>282</v>
      </c>
      <c r="E487" s="196" t="s">
        <v>317</v>
      </c>
      <c r="F487" s="195" t="s">
        <v>441</v>
      </c>
      <c r="G487" s="195" t="s">
        <v>434</v>
      </c>
    </row>
    <row r="488" spans="1:7">
      <c r="A488" s="194" t="s">
        <v>94</v>
      </c>
      <c r="B488" s="195">
        <v>7637</v>
      </c>
      <c r="C488" s="195">
        <v>0</v>
      </c>
      <c r="D488" s="196" t="s">
        <v>282</v>
      </c>
      <c r="E488" s="196" t="s">
        <v>317</v>
      </c>
      <c r="F488" s="195" t="s">
        <v>411</v>
      </c>
      <c r="G488" s="195" t="s">
        <v>434</v>
      </c>
    </row>
    <row r="489" spans="1:7" hidden="1">
      <c r="A489" s="194" t="s">
        <v>576</v>
      </c>
      <c r="B489" s="195">
        <v>47</v>
      </c>
      <c r="C489" s="195">
        <v>0</v>
      </c>
      <c r="D489" s="196" t="s">
        <v>283</v>
      </c>
      <c r="E489" s="196" t="s">
        <v>319</v>
      </c>
      <c r="F489" s="195" t="s">
        <v>394</v>
      </c>
      <c r="G489" s="195" t="s">
        <v>434</v>
      </c>
    </row>
    <row r="490" spans="1:7" hidden="1">
      <c r="A490" s="194" t="s">
        <v>576</v>
      </c>
      <c r="B490" s="195">
        <v>-47</v>
      </c>
      <c r="C490" s="195">
        <v>0</v>
      </c>
      <c r="D490" s="196" t="s">
        <v>283</v>
      </c>
      <c r="E490" s="196" t="s">
        <v>319</v>
      </c>
      <c r="F490" s="195" t="s">
        <v>441</v>
      </c>
      <c r="G490" s="195" t="s">
        <v>434</v>
      </c>
    </row>
    <row r="491" spans="1:7">
      <c r="A491" s="194" t="s">
        <v>576</v>
      </c>
      <c r="B491" s="195">
        <v>327</v>
      </c>
      <c r="C491" s="195">
        <v>0</v>
      </c>
      <c r="D491" s="196" t="s">
        <v>282</v>
      </c>
      <c r="E491" s="196" t="s">
        <v>319</v>
      </c>
      <c r="F491" s="195" t="s">
        <v>394</v>
      </c>
      <c r="G491" s="195" t="s">
        <v>434</v>
      </c>
    </row>
    <row r="492" spans="1:7">
      <c r="A492" s="194" t="s">
        <v>576</v>
      </c>
      <c r="B492" s="195">
        <v>-277</v>
      </c>
      <c r="C492" s="195">
        <v>0</v>
      </c>
      <c r="D492" s="196" t="s">
        <v>282</v>
      </c>
      <c r="E492" s="196" t="s">
        <v>319</v>
      </c>
      <c r="F492" s="195" t="s">
        <v>408</v>
      </c>
      <c r="G492" s="195" t="s">
        <v>434</v>
      </c>
    </row>
    <row r="493" spans="1:7">
      <c r="A493" s="194" t="s">
        <v>576</v>
      </c>
      <c r="B493" s="195">
        <v>-97</v>
      </c>
      <c r="C493" s="195">
        <v>0</v>
      </c>
      <c r="D493" s="196" t="s">
        <v>282</v>
      </c>
      <c r="E493" s="196" t="s">
        <v>319</v>
      </c>
      <c r="F493" s="195" t="s">
        <v>393</v>
      </c>
      <c r="G493" s="195" t="s">
        <v>434</v>
      </c>
    </row>
    <row r="494" spans="1:7">
      <c r="A494" s="194" t="s">
        <v>576</v>
      </c>
      <c r="B494" s="195">
        <v>47</v>
      </c>
      <c r="C494" s="195">
        <v>0</v>
      </c>
      <c r="D494" s="196" t="s">
        <v>282</v>
      </c>
      <c r="E494" s="196" t="s">
        <v>319</v>
      </c>
      <c r="F494" s="195" t="s">
        <v>441</v>
      </c>
      <c r="G494" s="195" t="s">
        <v>434</v>
      </c>
    </row>
    <row r="495" spans="1:7">
      <c r="A495" s="194" t="s">
        <v>577</v>
      </c>
      <c r="B495" s="195">
        <v>93</v>
      </c>
      <c r="C495" s="195">
        <v>0</v>
      </c>
      <c r="D495" s="196" t="s">
        <v>282</v>
      </c>
      <c r="E495" s="196" t="s">
        <v>319</v>
      </c>
      <c r="F495" s="195" t="s">
        <v>408</v>
      </c>
      <c r="G495" s="195" t="s">
        <v>434</v>
      </c>
    </row>
    <row r="496" spans="1:7">
      <c r="A496" s="194" t="s">
        <v>577</v>
      </c>
      <c r="B496" s="195">
        <v>-93</v>
      </c>
      <c r="C496" s="195">
        <v>0</v>
      </c>
      <c r="D496" s="196" t="s">
        <v>282</v>
      </c>
      <c r="E496" s="196" t="s">
        <v>319</v>
      </c>
      <c r="F496" s="195" t="s">
        <v>393</v>
      </c>
      <c r="G496" s="195" t="s">
        <v>434</v>
      </c>
    </row>
    <row r="497" spans="1:7">
      <c r="A497" s="194" t="s">
        <v>578</v>
      </c>
      <c r="B497" s="195">
        <v>-467</v>
      </c>
      <c r="C497" s="195">
        <v>0</v>
      </c>
      <c r="D497" s="196" t="s">
        <v>282</v>
      </c>
      <c r="E497" s="196" t="s">
        <v>319</v>
      </c>
      <c r="F497" s="195" t="s">
        <v>394</v>
      </c>
      <c r="G497" s="195" t="s">
        <v>434</v>
      </c>
    </row>
    <row r="498" spans="1:7">
      <c r="A498" s="194" t="s">
        <v>578</v>
      </c>
      <c r="B498" s="195">
        <v>240</v>
      </c>
      <c r="C498" s="195">
        <v>0</v>
      </c>
      <c r="D498" s="196" t="s">
        <v>282</v>
      </c>
      <c r="E498" s="196" t="s">
        <v>319</v>
      </c>
      <c r="F498" s="195" t="s">
        <v>408</v>
      </c>
      <c r="G498" s="195" t="s">
        <v>434</v>
      </c>
    </row>
    <row r="499" spans="1:7">
      <c r="A499" s="194" t="s">
        <v>578</v>
      </c>
      <c r="B499" s="195">
        <v>227</v>
      </c>
      <c r="C499" s="195">
        <v>0</v>
      </c>
      <c r="D499" s="196" t="s">
        <v>282</v>
      </c>
      <c r="E499" s="196" t="s">
        <v>319</v>
      </c>
      <c r="F499" s="195" t="s">
        <v>393</v>
      </c>
      <c r="G499" s="195" t="s">
        <v>434</v>
      </c>
    </row>
    <row r="500" spans="1:7">
      <c r="A500" s="194" t="s">
        <v>579</v>
      </c>
      <c r="B500" s="195">
        <v>-92</v>
      </c>
      <c r="C500" s="195">
        <v>0</v>
      </c>
      <c r="D500" s="196" t="s">
        <v>282</v>
      </c>
      <c r="E500" s="196" t="s">
        <v>319</v>
      </c>
      <c r="F500" s="195" t="s">
        <v>408</v>
      </c>
      <c r="G500" s="195" t="s">
        <v>434</v>
      </c>
    </row>
    <row r="501" spans="1:7">
      <c r="A501" s="194" t="s">
        <v>579</v>
      </c>
      <c r="B501" s="195">
        <v>92</v>
      </c>
      <c r="C501" s="195">
        <v>0</v>
      </c>
      <c r="D501" s="196" t="s">
        <v>282</v>
      </c>
      <c r="E501" s="196" t="s">
        <v>319</v>
      </c>
      <c r="F501" s="195" t="s">
        <v>393</v>
      </c>
      <c r="G501" s="195" t="s">
        <v>434</v>
      </c>
    </row>
    <row r="502" spans="1:7" hidden="1">
      <c r="A502" s="194" t="s">
        <v>580</v>
      </c>
      <c r="B502" s="195">
        <v>-1</v>
      </c>
      <c r="C502" s="195">
        <v>0</v>
      </c>
      <c r="D502" s="196" t="s">
        <v>283</v>
      </c>
      <c r="E502" s="196" t="s">
        <v>319</v>
      </c>
      <c r="F502" s="195" t="s">
        <v>394</v>
      </c>
      <c r="G502" s="195" t="s">
        <v>434</v>
      </c>
    </row>
    <row r="503" spans="1:7">
      <c r="A503" s="194" t="s">
        <v>580</v>
      </c>
      <c r="B503" s="195">
        <v>1</v>
      </c>
      <c r="C503" s="195">
        <v>0</v>
      </c>
      <c r="D503" s="196" t="s">
        <v>282</v>
      </c>
      <c r="E503" s="196" t="s">
        <v>319</v>
      </c>
      <c r="F503" s="195" t="s">
        <v>394</v>
      </c>
      <c r="G503" s="195" t="s">
        <v>434</v>
      </c>
    </row>
    <row r="504" spans="1:7">
      <c r="A504" s="194" t="s">
        <v>580</v>
      </c>
      <c r="B504" s="195">
        <v>-509</v>
      </c>
      <c r="C504" s="195">
        <v>0</v>
      </c>
      <c r="D504" s="196" t="s">
        <v>282</v>
      </c>
      <c r="E504" s="196" t="s">
        <v>319</v>
      </c>
      <c r="F504" s="195" t="s">
        <v>408</v>
      </c>
      <c r="G504" s="195" t="s">
        <v>434</v>
      </c>
    </row>
    <row r="505" spans="1:7">
      <c r="A505" s="194" t="s">
        <v>580</v>
      </c>
      <c r="B505" s="195">
        <v>509</v>
      </c>
      <c r="C505" s="195">
        <v>0</v>
      </c>
      <c r="D505" s="196" t="s">
        <v>282</v>
      </c>
      <c r="E505" s="196" t="s">
        <v>319</v>
      </c>
      <c r="F505" s="195" t="s">
        <v>393</v>
      </c>
      <c r="G505" s="195" t="s">
        <v>434</v>
      </c>
    </row>
    <row r="506" spans="1:7">
      <c r="A506" s="194" t="s">
        <v>581</v>
      </c>
      <c r="B506" s="195">
        <v>2252</v>
      </c>
      <c r="C506" s="195">
        <v>0</v>
      </c>
      <c r="D506" s="196" t="s">
        <v>282</v>
      </c>
      <c r="E506" s="196" t="s">
        <v>319</v>
      </c>
      <c r="F506" s="195" t="s">
        <v>394</v>
      </c>
      <c r="G506" s="195" t="s">
        <v>434</v>
      </c>
    </row>
    <row r="507" spans="1:7">
      <c r="A507" s="194" t="s">
        <v>581</v>
      </c>
      <c r="B507" s="195">
        <v>-2252</v>
      </c>
      <c r="C507" s="195">
        <v>0</v>
      </c>
      <c r="D507" s="196" t="s">
        <v>282</v>
      </c>
      <c r="E507" s="196" t="s">
        <v>319</v>
      </c>
      <c r="F507" s="195" t="s">
        <v>408</v>
      </c>
      <c r="G507" s="195" t="s">
        <v>434</v>
      </c>
    </row>
    <row r="508" spans="1:7" hidden="1">
      <c r="A508" s="194" t="s">
        <v>582</v>
      </c>
      <c r="B508" s="195">
        <v>2</v>
      </c>
      <c r="C508" s="195">
        <v>0</v>
      </c>
      <c r="D508" s="196" t="s">
        <v>283</v>
      </c>
      <c r="E508" s="196" t="s">
        <v>319</v>
      </c>
      <c r="F508" s="195" t="s">
        <v>394</v>
      </c>
      <c r="G508" s="195" t="s">
        <v>434</v>
      </c>
    </row>
    <row r="509" spans="1:7">
      <c r="A509" s="194" t="s">
        <v>582</v>
      </c>
      <c r="B509" s="195">
        <v>-2</v>
      </c>
      <c r="C509" s="195">
        <v>0</v>
      </c>
      <c r="D509" s="196" t="s">
        <v>282</v>
      </c>
      <c r="E509" s="196" t="s">
        <v>319</v>
      </c>
      <c r="F509" s="195" t="s">
        <v>394</v>
      </c>
      <c r="G509" s="195" t="s">
        <v>434</v>
      </c>
    </row>
    <row r="510" spans="1:7">
      <c r="A510" s="194" t="s">
        <v>582</v>
      </c>
      <c r="B510" s="195">
        <v>509</v>
      </c>
      <c r="C510" s="195">
        <v>0</v>
      </c>
      <c r="D510" s="196" t="s">
        <v>282</v>
      </c>
      <c r="E510" s="196" t="s">
        <v>319</v>
      </c>
      <c r="F510" s="195" t="s">
        <v>408</v>
      </c>
      <c r="G510" s="195" t="s">
        <v>434</v>
      </c>
    </row>
    <row r="511" spans="1:7">
      <c r="A511" s="194" t="s">
        <v>582</v>
      </c>
      <c r="B511" s="195">
        <v>-509</v>
      </c>
      <c r="C511" s="195">
        <v>0</v>
      </c>
      <c r="D511" s="196" t="s">
        <v>282</v>
      </c>
      <c r="E511" s="196" t="s">
        <v>319</v>
      </c>
      <c r="F511" s="195" t="s">
        <v>393</v>
      </c>
      <c r="G511" s="195" t="s">
        <v>434</v>
      </c>
    </row>
    <row r="512" spans="1:7">
      <c r="A512" s="194" t="s">
        <v>583</v>
      </c>
      <c r="B512" s="195">
        <v>-2252</v>
      </c>
      <c r="C512" s="195">
        <v>0</v>
      </c>
      <c r="D512" s="196" t="s">
        <v>282</v>
      </c>
      <c r="E512" s="196" t="s">
        <v>319</v>
      </c>
      <c r="F512" s="195" t="s">
        <v>394</v>
      </c>
      <c r="G512" s="195" t="s">
        <v>434</v>
      </c>
    </row>
    <row r="513" spans="1:7">
      <c r="A513" s="194" t="s">
        <v>583</v>
      </c>
      <c r="B513" s="195">
        <v>2252</v>
      </c>
      <c r="C513" s="195">
        <v>0</v>
      </c>
      <c r="D513" s="196" t="s">
        <v>282</v>
      </c>
      <c r="E513" s="196" t="s">
        <v>319</v>
      </c>
      <c r="F513" s="195" t="s">
        <v>408</v>
      </c>
      <c r="G513" s="195" t="s">
        <v>434</v>
      </c>
    </row>
    <row r="514" spans="1:7" hidden="1">
      <c r="A514" s="194" t="s">
        <v>584</v>
      </c>
      <c r="B514" s="195">
        <v>-189657</v>
      </c>
      <c r="C514" s="195">
        <v>0</v>
      </c>
      <c r="D514" s="196" t="s">
        <v>440</v>
      </c>
      <c r="E514" s="196" t="s">
        <v>317</v>
      </c>
      <c r="F514" s="195" t="s">
        <v>394</v>
      </c>
      <c r="G514" s="195" t="s">
        <v>434</v>
      </c>
    </row>
    <row r="515" spans="1:7" hidden="1">
      <c r="A515" s="194" t="s">
        <v>584</v>
      </c>
      <c r="B515" s="195">
        <v>-38490</v>
      </c>
      <c r="C515" s="195">
        <v>0</v>
      </c>
      <c r="D515" s="196" t="s">
        <v>440</v>
      </c>
      <c r="E515" s="196" t="s">
        <v>317</v>
      </c>
      <c r="F515" s="195" t="s">
        <v>410</v>
      </c>
      <c r="G515" s="195" t="s">
        <v>434</v>
      </c>
    </row>
    <row r="516" spans="1:7" hidden="1">
      <c r="A516" s="194" t="s">
        <v>584</v>
      </c>
      <c r="B516" s="195">
        <v>-64870</v>
      </c>
      <c r="C516" s="195">
        <v>0</v>
      </c>
      <c r="D516" s="196" t="s">
        <v>440</v>
      </c>
      <c r="E516" s="196" t="s">
        <v>317</v>
      </c>
      <c r="F516" s="195" t="s">
        <v>407</v>
      </c>
      <c r="G516" s="195" t="s">
        <v>434</v>
      </c>
    </row>
    <row r="517" spans="1:7" hidden="1">
      <c r="A517" s="194" t="s">
        <v>584</v>
      </c>
      <c r="B517" s="195">
        <v>431336</v>
      </c>
      <c r="C517" s="195">
        <v>0</v>
      </c>
      <c r="D517" s="196" t="s">
        <v>440</v>
      </c>
      <c r="E517" s="196" t="s">
        <v>317</v>
      </c>
      <c r="F517" s="195" t="s">
        <v>402</v>
      </c>
      <c r="G517" s="195" t="s">
        <v>434</v>
      </c>
    </row>
    <row r="518" spans="1:7" hidden="1">
      <c r="A518" s="194" t="s">
        <v>584</v>
      </c>
      <c r="B518" s="195">
        <v>-84202</v>
      </c>
      <c r="C518" s="195">
        <v>0</v>
      </c>
      <c r="D518" s="196" t="s">
        <v>545</v>
      </c>
      <c r="E518" s="196" t="s">
        <v>317</v>
      </c>
      <c r="F518" s="195" t="s">
        <v>394</v>
      </c>
      <c r="G518" s="195" t="s">
        <v>434</v>
      </c>
    </row>
    <row r="519" spans="1:7" hidden="1">
      <c r="A519" s="194" t="s">
        <v>584</v>
      </c>
      <c r="B519" s="195">
        <v>-167140</v>
      </c>
      <c r="C519" s="195">
        <v>0</v>
      </c>
      <c r="D519" s="196" t="s">
        <v>474</v>
      </c>
      <c r="E519" s="196" t="s">
        <v>317</v>
      </c>
      <c r="F519" s="195" t="s">
        <v>394</v>
      </c>
      <c r="G519" s="195" t="s">
        <v>434</v>
      </c>
    </row>
    <row r="520" spans="1:7" hidden="1">
      <c r="A520" s="194" t="s">
        <v>585</v>
      </c>
      <c r="B520" s="195">
        <v>459000</v>
      </c>
      <c r="C520" s="195">
        <v>0</v>
      </c>
      <c r="D520" s="196" t="s">
        <v>440</v>
      </c>
      <c r="E520" s="196" t="s">
        <v>317</v>
      </c>
      <c r="F520" s="195" t="s">
        <v>394</v>
      </c>
      <c r="G520" s="195" t="s">
        <v>434</v>
      </c>
    </row>
    <row r="521" spans="1:7" hidden="1">
      <c r="A521" s="194" t="s">
        <v>585</v>
      </c>
      <c r="B521" s="195">
        <v>-177023</v>
      </c>
      <c r="C521" s="195">
        <v>0</v>
      </c>
      <c r="D521" s="196" t="s">
        <v>440</v>
      </c>
      <c r="E521" s="196" t="s">
        <v>317</v>
      </c>
      <c r="F521" s="195" t="s">
        <v>407</v>
      </c>
      <c r="G521" s="195" t="s">
        <v>434</v>
      </c>
    </row>
    <row r="522" spans="1:7" hidden="1">
      <c r="A522" s="194" t="s">
        <v>585</v>
      </c>
      <c r="B522" s="195">
        <v>-459000</v>
      </c>
      <c r="C522" s="195">
        <v>0</v>
      </c>
      <c r="D522" s="196" t="s">
        <v>440</v>
      </c>
      <c r="E522" s="196" t="s">
        <v>317</v>
      </c>
      <c r="F522" s="195" t="s">
        <v>402</v>
      </c>
      <c r="G522" s="195" t="s">
        <v>434</v>
      </c>
    </row>
    <row r="523" spans="1:7" hidden="1">
      <c r="A523" s="194" t="s">
        <v>585</v>
      </c>
      <c r="B523" s="195">
        <v>-6960</v>
      </c>
      <c r="C523" s="195">
        <v>0</v>
      </c>
      <c r="D523" s="196" t="s">
        <v>545</v>
      </c>
      <c r="E523" s="196" t="s">
        <v>317</v>
      </c>
      <c r="F523" s="195" t="s">
        <v>394</v>
      </c>
      <c r="G523" s="195" t="s">
        <v>434</v>
      </c>
    </row>
    <row r="524" spans="1:7" hidden="1">
      <c r="A524" s="194" t="s">
        <v>585</v>
      </c>
      <c r="B524" s="195">
        <v>-26949</v>
      </c>
      <c r="C524" s="195">
        <v>0</v>
      </c>
      <c r="D524" s="196" t="s">
        <v>545</v>
      </c>
      <c r="E524" s="196" t="s">
        <v>317</v>
      </c>
      <c r="F524" s="195" t="s">
        <v>407</v>
      </c>
      <c r="G524" s="195" t="s">
        <v>434</v>
      </c>
    </row>
    <row r="525" spans="1:7" hidden="1">
      <c r="A525" s="194" t="s">
        <v>586</v>
      </c>
      <c r="B525" s="195">
        <v>-15000</v>
      </c>
      <c r="C525" s="195">
        <v>0</v>
      </c>
      <c r="D525" s="196" t="s">
        <v>587</v>
      </c>
      <c r="E525" s="196" t="s">
        <v>39</v>
      </c>
      <c r="F525" s="195" t="s">
        <v>394</v>
      </c>
      <c r="G525" s="195" t="s">
        <v>434</v>
      </c>
    </row>
    <row r="526" spans="1:7" hidden="1">
      <c r="A526" s="194" t="s">
        <v>586</v>
      </c>
      <c r="B526" s="195">
        <v>15000</v>
      </c>
      <c r="C526" s="195">
        <v>0</v>
      </c>
      <c r="D526" s="196" t="s">
        <v>587</v>
      </c>
      <c r="E526" s="196" t="s">
        <v>39</v>
      </c>
      <c r="F526" s="195" t="s">
        <v>441</v>
      </c>
      <c r="G526" s="195" t="s">
        <v>434</v>
      </c>
    </row>
    <row r="527" spans="1:7" hidden="1">
      <c r="A527" s="194" t="s">
        <v>586</v>
      </c>
      <c r="B527" s="195">
        <v>-568564</v>
      </c>
      <c r="C527" s="195">
        <v>0</v>
      </c>
      <c r="D527" s="196" t="s">
        <v>440</v>
      </c>
      <c r="E527" s="196" t="s">
        <v>39</v>
      </c>
      <c r="F527" s="195" t="s">
        <v>394</v>
      </c>
      <c r="G527" s="195" t="s">
        <v>434</v>
      </c>
    </row>
    <row r="528" spans="1:7" hidden="1">
      <c r="A528" s="194" t="s">
        <v>586</v>
      </c>
      <c r="B528" s="195">
        <v>-73844</v>
      </c>
      <c r="C528" s="195">
        <v>0</v>
      </c>
      <c r="D528" s="196" t="s">
        <v>442</v>
      </c>
      <c r="E528" s="196" t="s">
        <v>39</v>
      </c>
      <c r="F528" s="195" t="s">
        <v>394</v>
      </c>
      <c r="G528" s="195" t="s">
        <v>434</v>
      </c>
    </row>
    <row r="529" spans="1:7" hidden="1">
      <c r="A529" s="194" t="s">
        <v>588</v>
      </c>
      <c r="B529" s="195">
        <v>180000</v>
      </c>
      <c r="C529" s="195">
        <v>0</v>
      </c>
      <c r="D529" s="196" t="s">
        <v>440</v>
      </c>
      <c r="E529" s="196" t="s">
        <v>39</v>
      </c>
      <c r="F529" s="195" t="s">
        <v>394</v>
      </c>
      <c r="G529" s="195" t="s">
        <v>434</v>
      </c>
    </row>
    <row r="530" spans="1:7" hidden="1">
      <c r="A530" s="194" t="s">
        <v>588</v>
      </c>
      <c r="B530" s="195">
        <v>-180000</v>
      </c>
      <c r="C530" s="195">
        <v>0</v>
      </c>
      <c r="D530" s="196" t="s">
        <v>440</v>
      </c>
      <c r="E530" s="196" t="s">
        <v>39</v>
      </c>
      <c r="F530" s="195" t="s">
        <v>402</v>
      </c>
      <c r="G530" s="195" t="s">
        <v>434</v>
      </c>
    </row>
    <row r="531" spans="1:7" hidden="1">
      <c r="A531" s="194" t="s">
        <v>589</v>
      </c>
      <c r="B531" s="195">
        <v>-371</v>
      </c>
      <c r="C531" s="195">
        <v>0</v>
      </c>
      <c r="D531" s="196" t="s">
        <v>442</v>
      </c>
      <c r="E531" s="196" t="s">
        <v>39</v>
      </c>
      <c r="F531" s="195" t="s">
        <v>394</v>
      </c>
      <c r="G531" s="195" t="s">
        <v>434</v>
      </c>
    </row>
    <row r="532" spans="1:7" hidden="1">
      <c r="A532" s="194" t="s">
        <v>589</v>
      </c>
      <c r="B532" s="195">
        <v>371</v>
      </c>
      <c r="C532" s="195">
        <v>0</v>
      </c>
      <c r="D532" s="196" t="s">
        <v>442</v>
      </c>
      <c r="E532" s="196" t="s">
        <v>39</v>
      </c>
      <c r="F532" s="195" t="s">
        <v>402</v>
      </c>
      <c r="G532" s="195" t="s">
        <v>434</v>
      </c>
    </row>
    <row r="533" spans="1:7" hidden="1">
      <c r="A533" s="194" t="s">
        <v>590</v>
      </c>
      <c r="B533" s="195">
        <v>-25000000</v>
      </c>
      <c r="C533" s="195">
        <v>0</v>
      </c>
      <c r="D533" s="196" t="s">
        <v>463</v>
      </c>
      <c r="E533" s="196" t="s">
        <v>477</v>
      </c>
      <c r="F533" s="195" t="s">
        <v>394</v>
      </c>
      <c r="G533" s="195" t="s">
        <v>434</v>
      </c>
    </row>
    <row r="534" spans="1:7" hidden="1">
      <c r="A534" s="194" t="s">
        <v>590</v>
      </c>
      <c r="B534" s="195">
        <v>25000000</v>
      </c>
      <c r="C534" s="195">
        <v>0</v>
      </c>
      <c r="D534" s="196" t="s">
        <v>463</v>
      </c>
      <c r="E534" s="196" t="s">
        <v>477</v>
      </c>
      <c r="F534" s="195" t="s">
        <v>591</v>
      </c>
      <c r="G534" s="195" t="s">
        <v>434</v>
      </c>
    </row>
    <row r="535" spans="1:7" hidden="1">
      <c r="A535" s="194" t="s">
        <v>592</v>
      </c>
      <c r="B535" s="195">
        <v>10000000</v>
      </c>
      <c r="C535" s="195">
        <v>0</v>
      </c>
      <c r="D535" s="196" t="s">
        <v>463</v>
      </c>
      <c r="E535" s="196" t="s">
        <v>477</v>
      </c>
      <c r="F535" s="195" t="s">
        <v>394</v>
      </c>
      <c r="G535" s="195" t="s">
        <v>434</v>
      </c>
    </row>
    <row r="536" spans="1:7" hidden="1">
      <c r="A536" s="194" t="s">
        <v>593</v>
      </c>
      <c r="B536" s="195">
        <v>-473</v>
      </c>
      <c r="C536" s="195">
        <v>0</v>
      </c>
      <c r="D536" s="196" t="s">
        <v>437</v>
      </c>
      <c r="E536" s="196" t="s">
        <v>594</v>
      </c>
      <c r="F536" s="195" t="s">
        <v>394</v>
      </c>
      <c r="G536" s="195" t="s">
        <v>434</v>
      </c>
    </row>
    <row r="537" spans="1:7" hidden="1">
      <c r="A537" s="194" t="s">
        <v>593</v>
      </c>
      <c r="B537" s="195">
        <v>473</v>
      </c>
      <c r="C537" s="195">
        <v>0</v>
      </c>
      <c r="D537" s="196" t="s">
        <v>437</v>
      </c>
      <c r="E537" s="196" t="s">
        <v>594</v>
      </c>
      <c r="F537" s="195" t="s">
        <v>409</v>
      </c>
      <c r="G537" s="195" t="s">
        <v>434</v>
      </c>
    </row>
    <row r="538" spans="1:7" hidden="1">
      <c r="A538" s="194" t="s">
        <v>595</v>
      </c>
      <c r="B538" s="195">
        <v>473</v>
      </c>
      <c r="C538" s="195">
        <v>0</v>
      </c>
      <c r="D538" s="196" t="s">
        <v>437</v>
      </c>
      <c r="E538" s="196" t="s">
        <v>594</v>
      </c>
      <c r="F538" s="195" t="s">
        <v>394</v>
      </c>
      <c r="G538" s="195" t="s">
        <v>434</v>
      </c>
    </row>
    <row r="539" spans="1:7" hidden="1">
      <c r="A539" s="194" t="s">
        <v>595</v>
      </c>
      <c r="B539" s="195">
        <v>-473</v>
      </c>
      <c r="C539" s="195">
        <v>0</v>
      </c>
      <c r="D539" s="196" t="s">
        <v>437</v>
      </c>
      <c r="E539" s="196" t="s">
        <v>594</v>
      </c>
      <c r="F539" s="195" t="s">
        <v>409</v>
      </c>
      <c r="G539" s="195" t="s">
        <v>434</v>
      </c>
    </row>
    <row r="540" spans="1:7" hidden="1">
      <c r="A540" s="194" t="s">
        <v>596</v>
      </c>
      <c r="B540" s="195">
        <v>2311</v>
      </c>
      <c r="C540" s="195">
        <v>0</v>
      </c>
      <c r="D540" s="196" t="s">
        <v>442</v>
      </c>
      <c r="E540" s="196" t="s">
        <v>597</v>
      </c>
      <c r="F540" s="195" t="s">
        <v>394</v>
      </c>
      <c r="G540" s="195" t="s">
        <v>434</v>
      </c>
    </row>
    <row r="541" spans="1:7" hidden="1">
      <c r="A541" s="194" t="s">
        <v>598</v>
      </c>
      <c r="B541" s="195">
        <v>-11840</v>
      </c>
      <c r="C541" s="195">
        <v>0</v>
      </c>
      <c r="D541" s="196" t="s">
        <v>440</v>
      </c>
      <c r="E541" s="196" t="s">
        <v>317</v>
      </c>
      <c r="F541" s="195" t="s">
        <v>394</v>
      </c>
      <c r="G541" s="195" t="s">
        <v>434</v>
      </c>
    </row>
    <row r="542" spans="1:7" hidden="1">
      <c r="A542" s="194" t="s">
        <v>598</v>
      </c>
      <c r="B542" s="195">
        <v>-7980</v>
      </c>
      <c r="C542" s="195">
        <v>0</v>
      </c>
      <c r="D542" s="196" t="s">
        <v>442</v>
      </c>
      <c r="E542" s="196" t="s">
        <v>317</v>
      </c>
      <c r="F542" s="195" t="s">
        <v>394</v>
      </c>
      <c r="G542" s="195" t="s">
        <v>434</v>
      </c>
    </row>
    <row r="543" spans="1:7">
      <c r="A543" s="194" t="s">
        <v>599</v>
      </c>
      <c r="B543" s="195">
        <v>370</v>
      </c>
      <c r="C543" s="195">
        <v>0</v>
      </c>
      <c r="D543" s="196" t="s">
        <v>282</v>
      </c>
      <c r="E543" s="196" t="s">
        <v>317</v>
      </c>
      <c r="F543" s="195" t="s">
        <v>394</v>
      </c>
      <c r="G543" s="195" t="s">
        <v>434</v>
      </c>
    </row>
    <row r="544" spans="1:7">
      <c r="A544" s="194" t="s">
        <v>599</v>
      </c>
      <c r="B544" s="195">
        <v>-3704</v>
      </c>
      <c r="C544" s="195">
        <v>0</v>
      </c>
      <c r="D544" s="196" t="s">
        <v>282</v>
      </c>
      <c r="E544" s="196" t="s">
        <v>317</v>
      </c>
      <c r="F544" s="195" t="s">
        <v>393</v>
      </c>
      <c r="G544" s="195" t="s">
        <v>434</v>
      </c>
    </row>
    <row r="545" spans="1:7">
      <c r="A545" s="194" t="s">
        <v>599</v>
      </c>
      <c r="B545" s="195">
        <v>3334</v>
      </c>
      <c r="C545" s="195">
        <v>0</v>
      </c>
      <c r="D545" s="196" t="s">
        <v>282</v>
      </c>
      <c r="E545" s="196" t="s">
        <v>317</v>
      </c>
      <c r="F545" s="195" t="s">
        <v>403</v>
      </c>
      <c r="G545" s="195" t="s">
        <v>434</v>
      </c>
    </row>
    <row r="546" spans="1:7">
      <c r="A546" s="194" t="s">
        <v>600</v>
      </c>
      <c r="B546" s="195">
        <v>464</v>
      </c>
      <c r="C546" s="195">
        <v>0</v>
      </c>
      <c r="D546" s="196" t="s">
        <v>282</v>
      </c>
      <c r="E546" s="196" t="s">
        <v>319</v>
      </c>
      <c r="F546" s="195" t="s">
        <v>408</v>
      </c>
      <c r="G546" s="195" t="s">
        <v>434</v>
      </c>
    </row>
    <row r="547" spans="1:7">
      <c r="A547" s="194" t="s">
        <v>600</v>
      </c>
      <c r="B547" s="195">
        <v>-464</v>
      </c>
      <c r="C547" s="195">
        <v>0</v>
      </c>
      <c r="D547" s="196" t="s">
        <v>282</v>
      </c>
      <c r="E547" s="196" t="s">
        <v>319</v>
      </c>
      <c r="F547" s="195" t="s">
        <v>393</v>
      </c>
      <c r="G547" s="195" t="s">
        <v>434</v>
      </c>
    </row>
    <row r="548" spans="1:7">
      <c r="A548" s="194" t="s">
        <v>601</v>
      </c>
      <c r="B548" s="195">
        <v>-463</v>
      </c>
      <c r="C548" s="195">
        <v>0</v>
      </c>
      <c r="D548" s="196" t="s">
        <v>282</v>
      </c>
      <c r="E548" s="196" t="s">
        <v>319</v>
      </c>
      <c r="F548" s="195" t="s">
        <v>408</v>
      </c>
      <c r="G548" s="195" t="s">
        <v>434</v>
      </c>
    </row>
    <row r="549" spans="1:7">
      <c r="A549" s="194" t="s">
        <v>601</v>
      </c>
      <c r="B549" s="195">
        <v>463</v>
      </c>
      <c r="C549" s="195">
        <v>0</v>
      </c>
      <c r="D549" s="196" t="s">
        <v>282</v>
      </c>
      <c r="E549" s="196" t="s">
        <v>319</v>
      </c>
      <c r="F549" s="195" t="s">
        <v>393</v>
      </c>
      <c r="G549" s="195" t="s">
        <v>434</v>
      </c>
    </row>
    <row r="550" spans="1:7">
      <c r="A550" s="194" t="s">
        <v>602</v>
      </c>
      <c r="B550" s="195">
        <v>-3751</v>
      </c>
      <c r="C550" s="195">
        <v>0</v>
      </c>
      <c r="D550" s="196" t="s">
        <v>282</v>
      </c>
      <c r="E550" s="196" t="s">
        <v>317</v>
      </c>
      <c r="F550" s="195" t="s">
        <v>394</v>
      </c>
      <c r="G550" s="195" t="s">
        <v>434</v>
      </c>
    </row>
    <row r="551" spans="1:7">
      <c r="A551" s="194" t="s">
        <v>602</v>
      </c>
      <c r="B551" s="195">
        <v>3751</v>
      </c>
      <c r="C551" s="195">
        <v>0</v>
      </c>
      <c r="D551" s="196" t="s">
        <v>282</v>
      </c>
      <c r="E551" s="196" t="s">
        <v>317</v>
      </c>
      <c r="F551" s="195" t="s">
        <v>393</v>
      </c>
      <c r="G551" s="195" t="s">
        <v>434</v>
      </c>
    </row>
    <row r="552" spans="1:7" hidden="1">
      <c r="A552" s="194" t="s">
        <v>135</v>
      </c>
      <c r="B552" s="195">
        <v>-6949</v>
      </c>
      <c r="C552" s="195">
        <v>0</v>
      </c>
      <c r="D552" s="196" t="s">
        <v>283</v>
      </c>
      <c r="E552" s="196" t="s">
        <v>320</v>
      </c>
      <c r="F552" s="195" t="s">
        <v>394</v>
      </c>
      <c r="G552" s="195" t="s">
        <v>434</v>
      </c>
    </row>
    <row r="553" spans="1:7" hidden="1">
      <c r="A553" s="194" t="s">
        <v>135</v>
      </c>
      <c r="B553" s="195">
        <v>6949</v>
      </c>
      <c r="C553" s="195">
        <v>0</v>
      </c>
      <c r="D553" s="196" t="s">
        <v>283</v>
      </c>
      <c r="E553" s="196" t="s">
        <v>320</v>
      </c>
      <c r="F553" s="195" t="s">
        <v>393</v>
      </c>
      <c r="G553" s="195" t="s">
        <v>434</v>
      </c>
    </row>
    <row r="554" spans="1:7">
      <c r="A554" s="194" t="s">
        <v>135</v>
      </c>
      <c r="B554" s="195">
        <v>-49681</v>
      </c>
      <c r="C554" s="195">
        <v>0</v>
      </c>
      <c r="D554" s="196" t="s">
        <v>282</v>
      </c>
      <c r="E554" s="196" t="s">
        <v>320</v>
      </c>
      <c r="F554" s="195" t="s">
        <v>394</v>
      </c>
      <c r="G554" s="195" t="s">
        <v>434</v>
      </c>
    </row>
    <row r="555" spans="1:7">
      <c r="A555" s="194" t="s">
        <v>135</v>
      </c>
      <c r="B555" s="195">
        <v>-2589</v>
      </c>
      <c r="C555" s="195">
        <v>0</v>
      </c>
      <c r="D555" s="196" t="s">
        <v>282</v>
      </c>
      <c r="E555" s="196" t="s">
        <v>320</v>
      </c>
      <c r="F555" s="195" t="s">
        <v>445</v>
      </c>
      <c r="G555" s="195" t="s">
        <v>434</v>
      </c>
    </row>
    <row r="556" spans="1:7">
      <c r="A556" s="194" t="s">
        <v>135</v>
      </c>
      <c r="B556" s="195">
        <v>48242</v>
      </c>
      <c r="C556" s="195">
        <v>0</v>
      </c>
      <c r="D556" s="196" t="s">
        <v>282</v>
      </c>
      <c r="E556" s="196" t="s">
        <v>320</v>
      </c>
      <c r="F556" s="195" t="s">
        <v>393</v>
      </c>
      <c r="G556" s="195" t="s">
        <v>434</v>
      </c>
    </row>
    <row r="557" spans="1:7">
      <c r="A557" s="194" t="s">
        <v>135</v>
      </c>
      <c r="B557" s="195">
        <v>6003</v>
      </c>
      <c r="C557" s="195">
        <v>0</v>
      </c>
      <c r="D557" s="196" t="s">
        <v>282</v>
      </c>
      <c r="E557" s="196" t="s">
        <v>320</v>
      </c>
      <c r="F557" s="195" t="s">
        <v>413</v>
      </c>
      <c r="G557" s="195" t="s">
        <v>434</v>
      </c>
    </row>
    <row r="558" spans="1:7">
      <c r="A558" s="194" t="s">
        <v>135</v>
      </c>
      <c r="B558" s="195">
        <v>-1975</v>
      </c>
      <c r="C558" s="195">
        <v>0</v>
      </c>
      <c r="D558" s="196" t="s">
        <v>282</v>
      </c>
      <c r="E558" s="196" t="s">
        <v>320</v>
      </c>
      <c r="F558" s="195" t="s">
        <v>403</v>
      </c>
      <c r="G558" s="195" t="s">
        <v>434</v>
      </c>
    </row>
    <row r="559" spans="1:7" hidden="1">
      <c r="A559" s="194" t="s">
        <v>603</v>
      </c>
      <c r="B559" s="195">
        <v>928</v>
      </c>
      <c r="C559" s="195">
        <v>0</v>
      </c>
      <c r="D559" s="196" t="s">
        <v>283</v>
      </c>
      <c r="E559" s="196" t="s">
        <v>324</v>
      </c>
      <c r="F559" s="195" t="s">
        <v>394</v>
      </c>
      <c r="G559" s="195" t="s">
        <v>434</v>
      </c>
    </row>
    <row r="560" spans="1:7">
      <c r="A560" s="194" t="s">
        <v>603</v>
      </c>
      <c r="B560" s="195">
        <v>-928</v>
      </c>
      <c r="C560" s="195">
        <v>0</v>
      </c>
      <c r="D560" s="196" t="s">
        <v>282</v>
      </c>
      <c r="E560" s="196" t="s">
        <v>324</v>
      </c>
      <c r="F560" s="195" t="s">
        <v>394</v>
      </c>
      <c r="G560" s="195" t="s">
        <v>434</v>
      </c>
    </row>
    <row r="561" spans="1:7">
      <c r="A561" s="194" t="s">
        <v>603</v>
      </c>
      <c r="B561" s="195">
        <v>1853</v>
      </c>
      <c r="C561" s="195">
        <v>0</v>
      </c>
      <c r="D561" s="196" t="s">
        <v>282</v>
      </c>
      <c r="E561" s="196" t="s">
        <v>324</v>
      </c>
      <c r="F561" s="195" t="s">
        <v>408</v>
      </c>
      <c r="G561" s="195" t="s">
        <v>434</v>
      </c>
    </row>
    <row r="562" spans="1:7" hidden="1">
      <c r="A562" s="194" t="s">
        <v>604</v>
      </c>
      <c r="B562" s="195">
        <v>-927</v>
      </c>
      <c r="C562" s="195">
        <v>0</v>
      </c>
      <c r="D562" s="196" t="s">
        <v>283</v>
      </c>
      <c r="E562" s="196" t="s">
        <v>324</v>
      </c>
      <c r="F562" s="195" t="s">
        <v>394</v>
      </c>
      <c r="G562" s="195" t="s">
        <v>434</v>
      </c>
    </row>
    <row r="563" spans="1:7">
      <c r="A563" s="194" t="s">
        <v>604</v>
      </c>
      <c r="B563" s="195">
        <v>-927</v>
      </c>
      <c r="C563" s="195">
        <v>0</v>
      </c>
      <c r="D563" s="196" t="s">
        <v>282</v>
      </c>
      <c r="E563" s="196" t="s">
        <v>324</v>
      </c>
      <c r="F563" s="195" t="s">
        <v>394</v>
      </c>
      <c r="G563" s="195" t="s">
        <v>434</v>
      </c>
    </row>
    <row r="564" spans="1:7">
      <c r="A564" s="194" t="s">
        <v>605</v>
      </c>
      <c r="B564" s="195">
        <v>-232</v>
      </c>
      <c r="C564" s="195">
        <v>0</v>
      </c>
      <c r="D564" s="196" t="s">
        <v>282</v>
      </c>
      <c r="E564" s="196" t="s">
        <v>324</v>
      </c>
      <c r="F564" s="195" t="s">
        <v>408</v>
      </c>
      <c r="G564" s="195" t="s">
        <v>434</v>
      </c>
    </row>
    <row r="565" spans="1:7">
      <c r="A565" s="194" t="s">
        <v>605</v>
      </c>
      <c r="B565" s="195">
        <v>232</v>
      </c>
      <c r="C565" s="195">
        <v>0</v>
      </c>
      <c r="D565" s="196" t="s">
        <v>282</v>
      </c>
      <c r="E565" s="196" t="s">
        <v>324</v>
      </c>
      <c r="F565" s="195" t="s">
        <v>393</v>
      </c>
      <c r="G565" s="195" t="s">
        <v>434</v>
      </c>
    </row>
    <row r="566" spans="1:7">
      <c r="A566" s="194" t="s">
        <v>606</v>
      </c>
      <c r="B566" s="195">
        <v>232</v>
      </c>
      <c r="C566" s="195">
        <v>0</v>
      </c>
      <c r="D566" s="196" t="s">
        <v>282</v>
      </c>
      <c r="E566" s="196" t="s">
        <v>324</v>
      </c>
      <c r="F566" s="195" t="s">
        <v>408</v>
      </c>
      <c r="G566" s="195" t="s">
        <v>434</v>
      </c>
    </row>
    <row r="567" spans="1:7">
      <c r="A567" s="194" t="s">
        <v>606</v>
      </c>
      <c r="B567" s="195">
        <v>-232</v>
      </c>
      <c r="C567" s="195">
        <v>0</v>
      </c>
      <c r="D567" s="196" t="s">
        <v>282</v>
      </c>
      <c r="E567" s="196" t="s">
        <v>324</v>
      </c>
      <c r="F567" s="195" t="s">
        <v>393</v>
      </c>
      <c r="G567" s="195" t="s">
        <v>434</v>
      </c>
    </row>
    <row r="568" spans="1:7">
      <c r="A568" s="194" t="s">
        <v>143</v>
      </c>
      <c r="B568" s="195">
        <v>6989</v>
      </c>
      <c r="C568" s="195">
        <v>0</v>
      </c>
      <c r="D568" s="196" t="s">
        <v>282</v>
      </c>
      <c r="E568" s="196" t="s">
        <v>320</v>
      </c>
      <c r="F568" s="195" t="s">
        <v>394</v>
      </c>
      <c r="G568" s="195" t="s">
        <v>434</v>
      </c>
    </row>
    <row r="569" spans="1:7">
      <c r="A569" s="194" t="s">
        <v>143</v>
      </c>
      <c r="B569" s="195">
        <v>-6989</v>
      </c>
      <c r="C569" s="195">
        <v>0</v>
      </c>
      <c r="D569" s="196" t="s">
        <v>282</v>
      </c>
      <c r="E569" s="196" t="s">
        <v>320</v>
      </c>
      <c r="F569" s="195" t="s">
        <v>413</v>
      </c>
      <c r="G569" s="195" t="s">
        <v>434</v>
      </c>
    </row>
    <row r="570" spans="1:7">
      <c r="A570" s="194" t="s">
        <v>607</v>
      </c>
      <c r="B570" s="195">
        <v>14046</v>
      </c>
      <c r="C570" s="195">
        <v>0</v>
      </c>
      <c r="D570" s="196" t="s">
        <v>282</v>
      </c>
      <c r="E570" s="196" t="s">
        <v>317</v>
      </c>
      <c r="F570" s="195" t="s">
        <v>445</v>
      </c>
      <c r="G570" s="195" t="s">
        <v>434</v>
      </c>
    </row>
    <row r="571" spans="1:7">
      <c r="A571" s="194" t="s">
        <v>607</v>
      </c>
      <c r="B571" s="195">
        <v>-14046</v>
      </c>
      <c r="C571" s="195">
        <v>0</v>
      </c>
      <c r="D571" s="196" t="s">
        <v>282</v>
      </c>
      <c r="E571" s="196" t="s">
        <v>317</v>
      </c>
      <c r="F571" s="195" t="s">
        <v>393</v>
      </c>
      <c r="G571" s="195" t="s">
        <v>434</v>
      </c>
    </row>
    <row r="572" spans="1:7" hidden="1">
      <c r="A572" s="194" t="s">
        <v>608</v>
      </c>
      <c r="B572" s="195">
        <v>-216444</v>
      </c>
      <c r="C572" s="195">
        <v>0</v>
      </c>
      <c r="D572" s="196" t="s">
        <v>440</v>
      </c>
      <c r="E572" s="196" t="s">
        <v>609</v>
      </c>
      <c r="F572" s="195" t="s">
        <v>394</v>
      </c>
      <c r="G572" s="195" t="s">
        <v>434</v>
      </c>
    </row>
    <row r="573" spans="1:7" hidden="1">
      <c r="A573" s="194" t="s">
        <v>610</v>
      </c>
      <c r="B573" s="195">
        <v>191729</v>
      </c>
      <c r="C573" s="195">
        <v>0</v>
      </c>
      <c r="D573" s="196" t="s">
        <v>440</v>
      </c>
      <c r="E573" s="196" t="s">
        <v>39</v>
      </c>
      <c r="F573" s="195" t="s">
        <v>394</v>
      </c>
      <c r="G573" s="195" t="s">
        <v>434</v>
      </c>
    </row>
    <row r="574" spans="1:7" hidden="1">
      <c r="A574" s="194" t="s">
        <v>610</v>
      </c>
      <c r="B574" s="195">
        <v>-26430</v>
      </c>
      <c r="C574" s="195">
        <v>0</v>
      </c>
      <c r="D574" s="196" t="s">
        <v>440</v>
      </c>
      <c r="E574" s="196" t="s">
        <v>39</v>
      </c>
      <c r="F574" s="195" t="s">
        <v>407</v>
      </c>
      <c r="G574" s="195" t="s">
        <v>434</v>
      </c>
    </row>
    <row r="575" spans="1:7" hidden="1">
      <c r="A575" s="194" t="s">
        <v>610</v>
      </c>
      <c r="B575" s="195">
        <v>-165299</v>
      </c>
      <c r="C575" s="195">
        <v>0</v>
      </c>
      <c r="D575" s="196" t="s">
        <v>440</v>
      </c>
      <c r="E575" s="196" t="s">
        <v>39</v>
      </c>
      <c r="F575" s="195" t="s">
        <v>402</v>
      </c>
      <c r="G575" s="195" t="s">
        <v>434</v>
      </c>
    </row>
    <row r="576" spans="1:7" hidden="1">
      <c r="A576" s="194" t="s">
        <v>3</v>
      </c>
      <c r="B576" s="195">
        <v>-23445</v>
      </c>
      <c r="C576" s="195">
        <v>0</v>
      </c>
      <c r="D576" s="196" t="s">
        <v>440</v>
      </c>
      <c r="E576" s="196" t="s">
        <v>320</v>
      </c>
      <c r="F576" s="195" t="s">
        <v>394</v>
      </c>
      <c r="G576" s="195" t="s">
        <v>434</v>
      </c>
    </row>
    <row r="577" spans="1:7" hidden="1">
      <c r="A577" s="194" t="s">
        <v>3</v>
      </c>
      <c r="B577" s="195">
        <v>23445</v>
      </c>
      <c r="C577" s="195">
        <v>0</v>
      </c>
      <c r="D577" s="196" t="s">
        <v>440</v>
      </c>
      <c r="E577" s="196" t="s">
        <v>320</v>
      </c>
      <c r="F577" s="195" t="s">
        <v>441</v>
      </c>
      <c r="G577" s="195" t="s">
        <v>434</v>
      </c>
    </row>
    <row r="578" spans="1:7" hidden="1">
      <c r="A578" s="194" t="s">
        <v>3</v>
      </c>
      <c r="B578" s="195">
        <v>-4995</v>
      </c>
      <c r="C578" s="195">
        <v>0</v>
      </c>
      <c r="D578" s="196" t="s">
        <v>437</v>
      </c>
      <c r="E578" s="196" t="s">
        <v>320</v>
      </c>
      <c r="F578" s="195" t="s">
        <v>394</v>
      </c>
      <c r="G578" s="195" t="s">
        <v>434</v>
      </c>
    </row>
    <row r="579" spans="1:7" hidden="1">
      <c r="A579" s="194" t="s">
        <v>3</v>
      </c>
      <c r="B579" s="195">
        <v>4995</v>
      </c>
      <c r="C579" s="195">
        <v>0</v>
      </c>
      <c r="D579" s="196" t="s">
        <v>437</v>
      </c>
      <c r="E579" s="196" t="s">
        <v>320</v>
      </c>
      <c r="F579" s="195" t="s">
        <v>441</v>
      </c>
      <c r="G579" s="195" t="s">
        <v>434</v>
      </c>
    </row>
    <row r="580" spans="1:7">
      <c r="A580" s="194" t="s">
        <v>3</v>
      </c>
      <c r="B580" s="195">
        <v>-40116</v>
      </c>
      <c r="C580" s="195">
        <v>0</v>
      </c>
      <c r="D580" s="196" t="s">
        <v>282</v>
      </c>
      <c r="E580" s="196" t="s">
        <v>320</v>
      </c>
      <c r="F580" s="195" t="s">
        <v>394</v>
      </c>
      <c r="G580" s="195" t="s">
        <v>434</v>
      </c>
    </row>
    <row r="581" spans="1:7">
      <c r="A581" s="194" t="s">
        <v>3</v>
      </c>
      <c r="B581" s="195">
        <v>8253</v>
      </c>
      <c r="C581" s="195">
        <v>0</v>
      </c>
      <c r="D581" s="196" t="s">
        <v>282</v>
      </c>
      <c r="E581" s="196" t="s">
        <v>320</v>
      </c>
      <c r="F581" s="195" t="s">
        <v>445</v>
      </c>
      <c r="G581" s="195" t="s">
        <v>434</v>
      </c>
    </row>
    <row r="582" spans="1:7">
      <c r="A582" s="194" t="s">
        <v>3</v>
      </c>
      <c r="B582" s="195">
        <v>65766</v>
      </c>
      <c r="C582" s="195">
        <v>0</v>
      </c>
      <c r="D582" s="196" t="s">
        <v>282</v>
      </c>
      <c r="E582" s="196" t="s">
        <v>320</v>
      </c>
      <c r="F582" s="195" t="s">
        <v>393</v>
      </c>
      <c r="G582" s="195" t="s">
        <v>434</v>
      </c>
    </row>
    <row r="583" spans="1:7">
      <c r="A583" s="194" t="s">
        <v>3</v>
      </c>
      <c r="B583" s="195">
        <v>-5463</v>
      </c>
      <c r="C583" s="195">
        <v>0</v>
      </c>
      <c r="D583" s="196" t="s">
        <v>282</v>
      </c>
      <c r="E583" s="196" t="s">
        <v>320</v>
      </c>
      <c r="F583" s="195" t="s">
        <v>403</v>
      </c>
      <c r="G583" s="195" t="s">
        <v>434</v>
      </c>
    </row>
    <row r="584" spans="1:7">
      <c r="A584" s="194" t="s">
        <v>3</v>
      </c>
      <c r="B584" s="195">
        <v>-28440</v>
      </c>
      <c r="C584" s="195">
        <v>0</v>
      </c>
      <c r="D584" s="196" t="s">
        <v>282</v>
      </c>
      <c r="E584" s="196" t="s">
        <v>320</v>
      </c>
      <c r="F584" s="195" t="s">
        <v>441</v>
      </c>
      <c r="G584" s="195" t="s">
        <v>434</v>
      </c>
    </row>
    <row r="585" spans="1:7" hidden="1">
      <c r="A585" s="194" t="s">
        <v>611</v>
      </c>
      <c r="B585" s="195">
        <v>-7</v>
      </c>
      <c r="C585" s="195">
        <v>0</v>
      </c>
      <c r="D585" s="196" t="s">
        <v>442</v>
      </c>
      <c r="E585" s="196" t="s">
        <v>612</v>
      </c>
      <c r="F585" s="195" t="s">
        <v>394</v>
      </c>
      <c r="G585" s="195" t="s">
        <v>434</v>
      </c>
    </row>
    <row r="586" spans="1:7" hidden="1">
      <c r="A586" s="194" t="s">
        <v>613</v>
      </c>
      <c r="B586" s="195">
        <v>-19</v>
      </c>
      <c r="C586" s="195">
        <v>0</v>
      </c>
      <c r="D586" s="196" t="s">
        <v>437</v>
      </c>
      <c r="E586" s="196" t="s">
        <v>614</v>
      </c>
      <c r="F586" s="195" t="s">
        <v>394</v>
      </c>
      <c r="G586" s="195" t="s">
        <v>434</v>
      </c>
    </row>
    <row r="587" spans="1:7" hidden="1">
      <c r="A587" s="194" t="s">
        <v>613</v>
      </c>
      <c r="B587" s="195">
        <v>19</v>
      </c>
      <c r="C587" s="195">
        <v>0</v>
      </c>
      <c r="D587" s="196" t="s">
        <v>437</v>
      </c>
      <c r="E587" s="196" t="s">
        <v>614</v>
      </c>
      <c r="F587" s="195" t="s">
        <v>409</v>
      </c>
      <c r="G587" s="195" t="s">
        <v>434</v>
      </c>
    </row>
    <row r="588" spans="1:7" hidden="1">
      <c r="A588" s="194" t="s">
        <v>615</v>
      </c>
      <c r="B588" s="195">
        <v>332</v>
      </c>
      <c r="C588" s="195">
        <v>0</v>
      </c>
      <c r="D588" s="196" t="s">
        <v>463</v>
      </c>
      <c r="E588" s="196" t="s">
        <v>616</v>
      </c>
      <c r="F588" s="195" t="s">
        <v>617</v>
      </c>
      <c r="G588" s="195" t="s">
        <v>434</v>
      </c>
    </row>
    <row r="589" spans="1:7" hidden="1">
      <c r="A589" s="194" t="s">
        <v>618</v>
      </c>
      <c r="B589" s="195">
        <v>1700</v>
      </c>
      <c r="C589" s="195">
        <v>0</v>
      </c>
      <c r="D589" s="196" t="s">
        <v>463</v>
      </c>
      <c r="E589" s="196" t="s">
        <v>619</v>
      </c>
      <c r="F589" s="195" t="s">
        <v>394</v>
      </c>
      <c r="G589" s="195" t="s">
        <v>434</v>
      </c>
    </row>
    <row r="590" spans="1:7" hidden="1">
      <c r="A590" s="194" t="s">
        <v>620</v>
      </c>
      <c r="B590" s="195">
        <v>-413</v>
      </c>
      <c r="C590" s="195">
        <v>0</v>
      </c>
      <c r="D590" s="196" t="s">
        <v>440</v>
      </c>
      <c r="E590" s="196" t="s">
        <v>616</v>
      </c>
      <c r="F590" s="195" t="s">
        <v>394</v>
      </c>
      <c r="G590" s="195" t="s">
        <v>434</v>
      </c>
    </row>
    <row r="591" spans="1:7" hidden="1">
      <c r="A591" s="194" t="s">
        <v>620</v>
      </c>
      <c r="B591" s="195">
        <v>413</v>
      </c>
      <c r="C591" s="195">
        <v>0</v>
      </c>
      <c r="D591" s="196" t="s">
        <v>440</v>
      </c>
      <c r="E591" s="196" t="s">
        <v>616</v>
      </c>
      <c r="F591" s="195" t="s">
        <v>617</v>
      </c>
      <c r="G591" s="195" t="s">
        <v>434</v>
      </c>
    </row>
    <row r="592" spans="1:7" hidden="1">
      <c r="A592" s="194" t="s">
        <v>621</v>
      </c>
      <c r="B592" s="195">
        <v>6526058.9964455003</v>
      </c>
      <c r="C592" s="195">
        <v>0</v>
      </c>
      <c r="D592" s="196" t="s">
        <v>440</v>
      </c>
      <c r="E592" s="196" t="s">
        <v>622</v>
      </c>
      <c r="F592" s="195" t="s">
        <v>394</v>
      </c>
      <c r="G592" s="195" t="s">
        <v>434</v>
      </c>
    </row>
    <row r="593" spans="1:7" hidden="1">
      <c r="A593" s="194" t="s">
        <v>621</v>
      </c>
      <c r="B593" s="195">
        <v>-153499.73406459999</v>
      </c>
      <c r="C593" s="195">
        <v>0</v>
      </c>
      <c r="D593" s="196" t="s">
        <v>440</v>
      </c>
      <c r="E593" s="196" t="s">
        <v>622</v>
      </c>
      <c r="F593" s="195" t="s">
        <v>441</v>
      </c>
      <c r="G593" s="195" t="s">
        <v>434</v>
      </c>
    </row>
    <row r="594" spans="1:7" hidden="1">
      <c r="A594" s="194" t="s">
        <v>621</v>
      </c>
      <c r="B594" s="195">
        <v>179099.99619703999</v>
      </c>
      <c r="C594" s="195">
        <v>0</v>
      </c>
      <c r="D594" s="196" t="s">
        <v>442</v>
      </c>
      <c r="E594" s="196" t="s">
        <v>622</v>
      </c>
      <c r="F594" s="195" t="s">
        <v>394</v>
      </c>
      <c r="G594" s="195" t="s">
        <v>434</v>
      </c>
    </row>
    <row r="595" spans="1:7" hidden="1">
      <c r="A595" s="194" t="s">
        <v>621</v>
      </c>
      <c r="B595" s="195">
        <v>153499.73406459999</v>
      </c>
      <c r="C595" s="195">
        <v>0</v>
      </c>
      <c r="D595" s="196" t="s">
        <v>442</v>
      </c>
      <c r="E595" s="196" t="s">
        <v>622</v>
      </c>
      <c r="F595" s="195" t="s">
        <v>441</v>
      </c>
      <c r="G595" s="195" t="s">
        <v>434</v>
      </c>
    </row>
    <row r="596" spans="1:7" hidden="1">
      <c r="A596" s="194" t="s">
        <v>392</v>
      </c>
      <c r="B596" s="195">
        <v>2542</v>
      </c>
      <c r="C596" s="195">
        <v>0</v>
      </c>
      <c r="D596" s="196" t="s">
        <v>283</v>
      </c>
      <c r="E596" s="196" t="s">
        <v>517</v>
      </c>
      <c r="F596" s="195" t="s">
        <v>394</v>
      </c>
      <c r="G596" s="195" t="s">
        <v>434</v>
      </c>
    </row>
    <row r="597" spans="1:7">
      <c r="A597" s="194" t="s">
        <v>392</v>
      </c>
      <c r="B597" s="195">
        <v>1875</v>
      </c>
      <c r="C597" s="195">
        <v>0</v>
      </c>
      <c r="D597" s="196" t="s">
        <v>282</v>
      </c>
      <c r="E597" s="196" t="s">
        <v>517</v>
      </c>
      <c r="F597" s="195" t="s">
        <v>394</v>
      </c>
      <c r="G597" s="195" t="s">
        <v>434</v>
      </c>
    </row>
    <row r="598" spans="1:7">
      <c r="A598" s="194" t="s">
        <v>392</v>
      </c>
      <c r="B598" s="195">
        <v>666</v>
      </c>
      <c r="C598" s="195">
        <v>0</v>
      </c>
      <c r="D598" s="196" t="s">
        <v>282</v>
      </c>
      <c r="E598" s="196" t="s">
        <v>517</v>
      </c>
      <c r="F598" s="195" t="s">
        <v>393</v>
      </c>
      <c r="G598" s="195" t="s">
        <v>434</v>
      </c>
    </row>
    <row r="599" spans="1:7" hidden="1">
      <c r="A599" s="194" t="s">
        <v>623</v>
      </c>
      <c r="B599" s="195">
        <v>22665000</v>
      </c>
      <c r="C599" s="195">
        <v>0</v>
      </c>
      <c r="D599" s="196" t="s">
        <v>463</v>
      </c>
      <c r="E599" s="196" t="s">
        <v>464</v>
      </c>
      <c r="F599" s="195" t="s">
        <v>394</v>
      </c>
      <c r="G599" s="195" t="s">
        <v>434</v>
      </c>
    </row>
    <row r="600" spans="1:7" hidden="1">
      <c r="A600" s="194" t="s">
        <v>623</v>
      </c>
      <c r="B600" s="195">
        <v>-22665000</v>
      </c>
      <c r="C600" s="195">
        <v>0</v>
      </c>
      <c r="D600" s="196" t="s">
        <v>463</v>
      </c>
      <c r="E600" s="196" t="s">
        <v>464</v>
      </c>
      <c r="F600" s="195" t="s">
        <v>468</v>
      </c>
      <c r="G600" s="195" t="s">
        <v>434</v>
      </c>
    </row>
    <row r="601" spans="1:7">
      <c r="A601" s="194" t="s">
        <v>624</v>
      </c>
      <c r="B601" s="195">
        <v>-5660</v>
      </c>
      <c r="C601" s="195">
        <v>0</v>
      </c>
      <c r="D601" s="196" t="s">
        <v>282</v>
      </c>
      <c r="E601" s="196" t="s">
        <v>317</v>
      </c>
      <c r="F601" s="195" t="s">
        <v>394</v>
      </c>
      <c r="G601" s="195" t="s">
        <v>434</v>
      </c>
    </row>
    <row r="602" spans="1:7">
      <c r="A602" s="194" t="s">
        <v>624</v>
      </c>
      <c r="B602" s="195">
        <v>11790</v>
      </c>
      <c r="C602" s="195">
        <v>0</v>
      </c>
      <c r="D602" s="196" t="s">
        <v>282</v>
      </c>
      <c r="E602" s="196" t="s">
        <v>317</v>
      </c>
      <c r="F602" s="195" t="s">
        <v>445</v>
      </c>
      <c r="G602" s="195" t="s">
        <v>434</v>
      </c>
    </row>
    <row r="603" spans="1:7">
      <c r="A603" s="194" t="s">
        <v>624</v>
      </c>
      <c r="B603" s="195">
        <v>-6130</v>
      </c>
      <c r="C603" s="195">
        <v>0</v>
      </c>
      <c r="D603" s="196" t="s">
        <v>282</v>
      </c>
      <c r="E603" s="196" t="s">
        <v>317</v>
      </c>
      <c r="F603" s="195" t="s">
        <v>393</v>
      </c>
      <c r="G603" s="195" t="s">
        <v>434</v>
      </c>
    </row>
    <row r="604" spans="1:7">
      <c r="A604" s="194" t="s">
        <v>136</v>
      </c>
      <c r="B604" s="195">
        <v>-23041</v>
      </c>
      <c r="C604" s="195">
        <v>0</v>
      </c>
      <c r="D604" s="196" t="s">
        <v>282</v>
      </c>
      <c r="E604" s="196" t="s">
        <v>320</v>
      </c>
      <c r="F604" s="195" t="s">
        <v>394</v>
      </c>
      <c r="G604" s="195" t="s">
        <v>434</v>
      </c>
    </row>
    <row r="605" spans="1:7">
      <c r="A605" s="194" t="s">
        <v>136</v>
      </c>
      <c r="B605" s="195">
        <v>16550</v>
      </c>
      <c r="C605" s="195">
        <v>0</v>
      </c>
      <c r="D605" s="196" t="s">
        <v>282</v>
      </c>
      <c r="E605" s="196" t="s">
        <v>320</v>
      </c>
      <c r="F605" s="195" t="s">
        <v>393</v>
      </c>
      <c r="G605" s="195" t="s">
        <v>434</v>
      </c>
    </row>
    <row r="606" spans="1:7">
      <c r="A606" s="194" t="s">
        <v>136</v>
      </c>
      <c r="B606" s="195">
        <v>6491</v>
      </c>
      <c r="C606" s="195">
        <v>0</v>
      </c>
      <c r="D606" s="196" t="s">
        <v>282</v>
      </c>
      <c r="E606" s="196" t="s">
        <v>320</v>
      </c>
      <c r="F606" s="195" t="s">
        <v>403</v>
      </c>
      <c r="G606" s="195" t="s">
        <v>434</v>
      </c>
    </row>
    <row r="607" spans="1:7" hidden="1">
      <c r="A607" s="194" t="s">
        <v>625</v>
      </c>
      <c r="B607" s="195">
        <v>695</v>
      </c>
      <c r="C607" s="195">
        <v>0</v>
      </c>
      <c r="D607" s="196" t="s">
        <v>283</v>
      </c>
      <c r="E607" s="196" t="s">
        <v>324</v>
      </c>
      <c r="F607" s="195" t="s">
        <v>394</v>
      </c>
      <c r="G607" s="195" t="s">
        <v>434</v>
      </c>
    </row>
    <row r="608" spans="1:7">
      <c r="A608" s="194" t="s">
        <v>625</v>
      </c>
      <c r="B608" s="195">
        <v>-695</v>
      </c>
      <c r="C608" s="195">
        <v>0</v>
      </c>
      <c r="D608" s="196" t="s">
        <v>282</v>
      </c>
      <c r="E608" s="196" t="s">
        <v>324</v>
      </c>
      <c r="F608" s="195" t="s">
        <v>394</v>
      </c>
      <c r="G608" s="195" t="s">
        <v>434</v>
      </c>
    </row>
    <row r="609" spans="1:7">
      <c r="A609" s="194" t="s">
        <v>625</v>
      </c>
      <c r="B609" s="195">
        <v>1390</v>
      </c>
      <c r="C609" s="195">
        <v>0</v>
      </c>
      <c r="D609" s="196" t="s">
        <v>282</v>
      </c>
      <c r="E609" s="196" t="s">
        <v>324</v>
      </c>
      <c r="F609" s="195" t="s">
        <v>408</v>
      </c>
      <c r="G609" s="195" t="s">
        <v>434</v>
      </c>
    </row>
    <row r="610" spans="1:7" hidden="1">
      <c r="A610" s="194" t="s">
        <v>626</v>
      </c>
      <c r="B610" s="195">
        <v>-395</v>
      </c>
      <c r="C610" s="195">
        <v>0</v>
      </c>
      <c r="D610" s="196" t="s">
        <v>283</v>
      </c>
      <c r="E610" s="196" t="s">
        <v>324</v>
      </c>
      <c r="F610" s="195" t="s">
        <v>394</v>
      </c>
      <c r="G610" s="195" t="s">
        <v>434</v>
      </c>
    </row>
    <row r="611" spans="1:7">
      <c r="A611" s="194" t="s">
        <v>626</v>
      </c>
      <c r="B611" s="195">
        <v>395</v>
      </c>
      <c r="C611" s="195">
        <v>0</v>
      </c>
      <c r="D611" s="196" t="s">
        <v>282</v>
      </c>
      <c r="E611" s="196" t="s">
        <v>324</v>
      </c>
      <c r="F611" s="195" t="s">
        <v>394</v>
      </c>
      <c r="G611" s="195" t="s">
        <v>434</v>
      </c>
    </row>
    <row r="612" spans="1:7">
      <c r="A612" s="194" t="s">
        <v>626</v>
      </c>
      <c r="B612" s="195">
        <v>-790</v>
      </c>
      <c r="C612" s="195">
        <v>0</v>
      </c>
      <c r="D612" s="196" t="s">
        <v>282</v>
      </c>
      <c r="E612" s="196" t="s">
        <v>324</v>
      </c>
      <c r="F612" s="195" t="s">
        <v>408</v>
      </c>
      <c r="G612" s="195" t="s">
        <v>434</v>
      </c>
    </row>
    <row r="613" spans="1:7">
      <c r="A613" s="194" t="s">
        <v>627</v>
      </c>
      <c r="B613" s="195">
        <v>-9110</v>
      </c>
      <c r="C613" s="195">
        <v>0</v>
      </c>
      <c r="D613" s="196" t="s">
        <v>282</v>
      </c>
      <c r="E613" s="196" t="s">
        <v>317</v>
      </c>
      <c r="F613" s="195" t="s">
        <v>394</v>
      </c>
      <c r="G613" s="195" t="s">
        <v>434</v>
      </c>
    </row>
    <row r="614" spans="1:7">
      <c r="A614" s="194" t="s">
        <v>627</v>
      </c>
      <c r="B614" s="195">
        <v>9110</v>
      </c>
      <c r="C614" s="195">
        <v>0</v>
      </c>
      <c r="D614" s="196" t="s">
        <v>282</v>
      </c>
      <c r="E614" s="196" t="s">
        <v>317</v>
      </c>
      <c r="F614" s="195" t="s">
        <v>393</v>
      </c>
      <c r="G614" s="195" t="s">
        <v>434</v>
      </c>
    </row>
    <row r="615" spans="1:7" hidden="1">
      <c r="A615" s="194" t="s">
        <v>628</v>
      </c>
      <c r="B615" s="195">
        <v>1945</v>
      </c>
      <c r="C615" s="195">
        <v>0</v>
      </c>
      <c r="D615" s="196" t="s">
        <v>283</v>
      </c>
      <c r="E615" s="196" t="s">
        <v>317</v>
      </c>
      <c r="F615" s="195" t="s">
        <v>394</v>
      </c>
      <c r="G615" s="195" t="s">
        <v>434</v>
      </c>
    </row>
    <row r="616" spans="1:7" hidden="1">
      <c r="A616" s="194" t="s">
        <v>628</v>
      </c>
      <c r="B616" s="195">
        <v>-1945</v>
      </c>
      <c r="C616" s="195">
        <v>0</v>
      </c>
      <c r="D616" s="196" t="s">
        <v>283</v>
      </c>
      <c r="E616" s="196" t="s">
        <v>317</v>
      </c>
      <c r="F616" s="195" t="s">
        <v>441</v>
      </c>
      <c r="G616" s="195" t="s">
        <v>434</v>
      </c>
    </row>
    <row r="617" spans="1:7">
      <c r="A617" s="194" t="s">
        <v>628</v>
      </c>
      <c r="B617" s="195">
        <v>-1945</v>
      </c>
      <c r="C617" s="195">
        <v>0</v>
      </c>
      <c r="D617" s="196" t="s">
        <v>282</v>
      </c>
      <c r="E617" s="196" t="s">
        <v>317</v>
      </c>
      <c r="F617" s="195" t="s">
        <v>394</v>
      </c>
      <c r="G617" s="195" t="s">
        <v>434</v>
      </c>
    </row>
    <row r="618" spans="1:7">
      <c r="A618" s="194" t="s">
        <v>628</v>
      </c>
      <c r="B618" s="195">
        <v>1945</v>
      </c>
      <c r="C618" s="195">
        <v>0</v>
      </c>
      <c r="D618" s="196" t="s">
        <v>282</v>
      </c>
      <c r="E618" s="196" t="s">
        <v>317</v>
      </c>
      <c r="F618" s="195" t="s">
        <v>441</v>
      </c>
      <c r="G618" s="195" t="s">
        <v>434</v>
      </c>
    </row>
    <row r="619" spans="1:7" hidden="1">
      <c r="A619" s="194" t="s">
        <v>629</v>
      </c>
      <c r="B619" s="195">
        <v>321</v>
      </c>
      <c r="C619" s="195">
        <v>0</v>
      </c>
      <c r="D619" s="196" t="s">
        <v>283</v>
      </c>
      <c r="E619" s="196" t="s">
        <v>630</v>
      </c>
      <c r="F619" s="195" t="s">
        <v>396</v>
      </c>
      <c r="G619" s="195" t="s">
        <v>434</v>
      </c>
    </row>
    <row r="620" spans="1:7" hidden="1">
      <c r="A620" s="194" t="s">
        <v>629</v>
      </c>
      <c r="B620" s="195">
        <v>2393</v>
      </c>
      <c r="C620" s="195">
        <v>0</v>
      </c>
      <c r="D620" s="196" t="s">
        <v>437</v>
      </c>
      <c r="E620" s="196" t="s">
        <v>630</v>
      </c>
      <c r="F620" s="195" t="s">
        <v>396</v>
      </c>
      <c r="G620" s="195" t="s">
        <v>434</v>
      </c>
    </row>
    <row r="621" spans="1:7">
      <c r="A621" s="194" t="s">
        <v>629</v>
      </c>
      <c r="B621" s="195">
        <v>321</v>
      </c>
      <c r="C621" s="195">
        <v>0</v>
      </c>
      <c r="D621" s="196" t="s">
        <v>282</v>
      </c>
      <c r="E621" s="196" t="s">
        <v>630</v>
      </c>
      <c r="F621" s="195" t="s">
        <v>396</v>
      </c>
      <c r="G621" s="195" t="s">
        <v>434</v>
      </c>
    </row>
    <row r="622" spans="1:7" hidden="1">
      <c r="A622" s="194" t="s">
        <v>0</v>
      </c>
      <c r="B622" s="195">
        <v>54400</v>
      </c>
      <c r="C622" s="195">
        <v>0</v>
      </c>
      <c r="D622" s="196" t="s">
        <v>440</v>
      </c>
      <c r="E622" s="196" t="s">
        <v>320</v>
      </c>
      <c r="F622" s="195" t="s">
        <v>394</v>
      </c>
      <c r="G622" s="195" t="s">
        <v>434</v>
      </c>
    </row>
    <row r="623" spans="1:7" hidden="1">
      <c r="A623" s="194" t="s">
        <v>0</v>
      </c>
      <c r="B623" s="195">
        <v>-54400</v>
      </c>
      <c r="C623" s="195">
        <v>0</v>
      </c>
      <c r="D623" s="196" t="s">
        <v>440</v>
      </c>
      <c r="E623" s="196" t="s">
        <v>320</v>
      </c>
      <c r="F623" s="195" t="s">
        <v>441</v>
      </c>
      <c r="G623" s="195" t="s">
        <v>434</v>
      </c>
    </row>
    <row r="624" spans="1:7" hidden="1">
      <c r="A624" s="194" t="s">
        <v>0</v>
      </c>
      <c r="B624" s="195">
        <v>3939</v>
      </c>
      <c r="C624" s="195">
        <v>0</v>
      </c>
      <c r="D624" s="196" t="s">
        <v>283</v>
      </c>
      <c r="E624" s="196" t="s">
        <v>320</v>
      </c>
      <c r="F624" s="195" t="s">
        <v>394</v>
      </c>
      <c r="G624" s="195" t="s">
        <v>434</v>
      </c>
    </row>
    <row r="625" spans="1:7" hidden="1">
      <c r="A625" s="194" t="s">
        <v>0</v>
      </c>
      <c r="B625" s="195">
        <v>-42560</v>
      </c>
      <c r="C625" s="195">
        <v>0</v>
      </c>
      <c r="D625" s="196" t="s">
        <v>437</v>
      </c>
      <c r="E625" s="196" t="s">
        <v>320</v>
      </c>
      <c r="F625" s="195" t="s">
        <v>394</v>
      </c>
      <c r="G625" s="195" t="s">
        <v>434</v>
      </c>
    </row>
    <row r="626" spans="1:7" hidden="1">
      <c r="A626" s="194" t="s">
        <v>0</v>
      </c>
      <c r="B626" s="195">
        <v>54400</v>
      </c>
      <c r="C626" s="195">
        <v>0</v>
      </c>
      <c r="D626" s="196" t="s">
        <v>437</v>
      </c>
      <c r="E626" s="196" t="s">
        <v>320</v>
      </c>
      <c r="F626" s="195" t="s">
        <v>441</v>
      </c>
      <c r="G626" s="195" t="s">
        <v>434</v>
      </c>
    </row>
    <row r="627" spans="1:7" hidden="1">
      <c r="A627" s="194" t="s">
        <v>0</v>
      </c>
      <c r="B627" s="195">
        <v>-11840</v>
      </c>
      <c r="C627" s="195">
        <v>0</v>
      </c>
      <c r="D627" s="196" t="s">
        <v>437</v>
      </c>
      <c r="E627" s="196" t="s">
        <v>320</v>
      </c>
      <c r="F627" s="195" t="s">
        <v>406</v>
      </c>
      <c r="G627" s="195" t="s">
        <v>434</v>
      </c>
    </row>
    <row r="628" spans="1:7">
      <c r="A628" s="194" t="s">
        <v>0</v>
      </c>
      <c r="B628" s="195">
        <v>4232</v>
      </c>
      <c r="C628" s="195">
        <v>0</v>
      </c>
      <c r="D628" s="196" t="s">
        <v>282</v>
      </c>
      <c r="E628" s="196" t="s">
        <v>320</v>
      </c>
      <c r="F628" s="195" t="s">
        <v>394</v>
      </c>
      <c r="G628" s="195" t="s">
        <v>434</v>
      </c>
    </row>
    <row r="629" spans="1:7">
      <c r="A629" s="194" t="s">
        <v>0</v>
      </c>
      <c r="B629" s="195">
        <v>2336</v>
      </c>
      <c r="C629" s="195">
        <v>0</v>
      </c>
      <c r="D629" s="196" t="s">
        <v>282</v>
      </c>
      <c r="E629" s="196" t="s">
        <v>320</v>
      </c>
      <c r="F629" s="195" t="s">
        <v>393</v>
      </c>
      <c r="G629" s="195" t="s">
        <v>434</v>
      </c>
    </row>
    <row r="630" spans="1:7">
      <c r="A630" s="194" t="s">
        <v>0</v>
      </c>
      <c r="B630" s="195">
        <v>-2629</v>
      </c>
      <c r="C630" s="195">
        <v>0</v>
      </c>
      <c r="D630" s="196" t="s">
        <v>282</v>
      </c>
      <c r="E630" s="196" t="s">
        <v>320</v>
      </c>
      <c r="F630" s="195" t="s">
        <v>411</v>
      </c>
      <c r="G630" s="195" t="s">
        <v>434</v>
      </c>
    </row>
    <row r="631" spans="1:7" hidden="1">
      <c r="A631" s="194" t="s">
        <v>0</v>
      </c>
      <c r="B631" s="195">
        <v>235</v>
      </c>
      <c r="C631" s="195">
        <v>0</v>
      </c>
      <c r="D631" s="196" t="s">
        <v>442</v>
      </c>
      <c r="E631" s="196" t="s">
        <v>320</v>
      </c>
      <c r="F631" s="195" t="s">
        <v>394</v>
      </c>
      <c r="G631" s="195" t="s">
        <v>434</v>
      </c>
    </row>
    <row r="632" spans="1:7" hidden="1">
      <c r="A632" s="194" t="s">
        <v>0</v>
      </c>
      <c r="B632" s="195">
        <v>-19641</v>
      </c>
      <c r="C632" s="195">
        <v>0</v>
      </c>
      <c r="D632" s="196" t="s">
        <v>474</v>
      </c>
      <c r="E632" s="196" t="s">
        <v>320</v>
      </c>
      <c r="F632" s="195" t="s">
        <v>394</v>
      </c>
      <c r="G632" s="195" t="s">
        <v>434</v>
      </c>
    </row>
    <row r="633" spans="1:7" hidden="1">
      <c r="A633" s="194" t="s">
        <v>0</v>
      </c>
      <c r="B633" s="195">
        <v>19641</v>
      </c>
      <c r="C633" s="195">
        <v>0</v>
      </c>
      <c r="D633" s="196" t="s">
        <v>474</v>
      </c>
      <c r="E633" s="196" t="s">
        <v>320</v>
      </c>
      <c r="F633" s="195" t="s">
        <v>402</v>
      </c>
      <c r="G633" s="195" t="s">
        <v>434</v>
      </c>
    </row>
    <row r="634" spans="1:7" hidden="1">
      <c r="A634" s="194" t="s">
        <v>631</v>
      </c>
      <c r="B634" s="195">
        <v>-67</v>
      </c>
      <c r="C634" s="195">
        <v>0</v>
      </c>
      <c r="D634" s="196" t="s">
        <v>283</v>
      </c>
      <c r="E634" s="196" t="s">
        <v>324</v>
      </c>
      <c r="F634" s="195" t="s">
        <v>394</v>
      </c>
      <c r="G634" s="195" t="s">
        <v>434</v>
      </c>
    </row>
    <row r="635" spans="1:7">
      <c r="A635" s="194" t="s">
        <v>631</v>
      </c>
      <c r="B635" s="195">
        <v>67</v>
      </c>
      <c r="C635" s="195">
        <v>0</v>
      </c>
      <c r="D635" s="196" t="s">
        <v>282</v>
      </c>
      <c r="E635" s="196" t="s">
        <v>324</v>
      </c>
      <c r="F635" s="195" t="s">
        <v>394</v>
      </c>
      <c r="G635" s="195" t="s">
        <v>434</v>
      </c>
    </row>
    <row r="636" spans="1:7">
      <c r="A636" s="194" t="s">
        <v>631</v>
      </c>
      <c r="B636" s="195">
        <v>694</v>
      </c>
      <c r="C636" s="195">
        <v>0</v>
      </c>
      <c r="D636" s="196" t="s">
        <v>282</v>
      </c>
      <c r="E636" s="196" t="s">
        <v>324</v>
      </c>
      <c r="F636" s="195" t="s">
        <v>408</v>
      </c>
      <c r="G636" s="195" t="s">
        <v>434</v>
      </c>
    </row>
    <row r="637" spans="1:7">
      <c r="A637" s="194" t="s">
        <v>631</v>
      </c>
      <c r="B637" s="195">
        <v>-832</v>
      </c>
      <c r="C637" s="195">
        <v>0</v>
      </c>
      <c r="D637" s="196" t="s">
        <v>282</v>
      </c>
      <c r="E637" s="196" t="s">
        <v>324</v>
      </c>
      <c r="F637" s="195" t="s">
        <v>393</v>
      </c>
      <c r="G637" s="195" t="s">
        <v>434</v>
      </c>
    </row>
    <row r="638" spans="1:7" hidden="1">
      <c r="A638" s="194" t="s">
        <v>632</v>
      </c>
      <c r="B638" s="195">
        <v>-1</v>
      </c>
      <c r="C638" s="195">
        <v>0</v>
      </c>
      <c r="D638" s="196" t="s">
        <v>283</v>
      </c>
      <c r="E638" s="196" t="s">
        <v>324</v>
      </c>
      <c r="F638" s="195" t="s">
        <v>394</v>
      </c>
      <c r="G638" s="195" t="s">
        <v>434</v>
      </c>
    </row>
    <row r="639" spans="1:7">
      <c r="A639" s="194" t="s">
        <v>632</v>
      </c>
      <c r="B639" s="195">
        <v>1</v>
      </c>
      <c r="C639" s="195">
        <v>0</v>
      </c>
      <c r="D639" s="196" t="s">
        <v>282</v>
      </c>
      <c r="E639" s="196" t="s">
        <v>324</v>
      </c>
      <c r="F639" s="195" t="s">
        <v>394</v>
      </c>
      <c r="G639" s="195" t="s">
        <v>434</v>
      </c>
    </row>
    <row r="640" spans="1:7">
      <c r="A640" s="194" t="s">
        <v>632</v>
      </c>
      <c r="B640" s="195">
        <v>-463</v>
      </c>
      <c r="C640" s="195">
        <v>0</v>
      </c>
      <c r="D640" s="196" t="s">
        <v>282</v>
      </c>
      <c r="E640" s="196" t="s">
        <v>324</v>
      </c>
      <c r="F640" s="195" t="s">
        <v>408</v>
      </c>
      <c r="G640" s="195" t="s">
        <v>434</v>
      </c>
    </row>
    <row r="641" spans="1:7">
      <c r="A641" s="194" t="s">
        <v>632</v>
      </c>
      <c r="B641" s="195">
        <v>466</v>
      </c>
      <c r="C641" s="195">
        <v>0</v>
      </c>
      <c r="D641" s="196" t="s">
        <v>282</v>
      </c>
      <c r="E641" s="196" t="s">
        <v>324</v>
      </c>
      <c r="F641" s="195" t="s">
        <v>393</v>
      </c>
      <c r="G641" s="195" t="s">
        <v>434</v>
      </c>
    </row>
    <row r="642" spans="1:7" hidden="1">
      <c r="A642" s="194" t="s">
        <v>633</v>
      </c>
      <c r="B642" s="195">
        <v>66</v>
      </c>
      <c r="C642" s="195">
        <v>0</v>
      </c>
      <c r="D642" s="196" t="s">
        <v>283</v>
      </c>
      <c r="E642" s="196" t="s">
        <v>324</v>
      </c>
      <c r="F642" s="195" t="s">
        <v>394</v>
      </c>
      <c r="G642" s="195" t="s">
        <v>434</v>
      </c>
    </row>
    <row r="643" spans="1:7">
      <c r="A643" s="194" t="s">
        <v>633</v>
      </c>
      <c r="B643" s="195">
        <v>-66</v>
      </c>
      <c r="C643" s="195">
        <v>0</v>
      </c>
      <c r="D643" s="196" t="s">
        <v>282</v>
      </c>
      <c r="E643" s="196" t="s">
        <v>324</v>
      </c>
      <c r="F643" s="195" t="s">
        <v>394</v>
      </c>
      <c r="G643" s="195" t="s">
        <v>434</v>
      </c>
    </row>
    <row r="644" spans="1:7">
      <c r="A644" s="194" t="s">
        <v>633</v>
      </c>
      <c r="B644" s="195">
        <v>-695</v>
      </c>
      <c r="C644" s="195">
        <v>0</v>
      </c>
      <c r="D644" s="196" t="s">
        <v>282</v>
      </c>
      <c r="E644" s="196" t="s">
        <v>324</v>
      </c>
      <c r="F644" s="195" t="s">
        <v>408</v>
      </c>
      <c r="G644" s="195" t="s">
        <v>434</v>
      </c>
    </row>
    <row r="645" spans="1:7">
      <c r="A645" s="194" t="s">
        <v>633</v>
      </c>
      <c r="B645" s="195">
        <v>832</v>
      </c>
      <c r="C645" s="195">
        <v>0</v>
      </c>
      <c r="D645" s="196" t="s">
        <v>282</v>
      </c>
      <c r="E645" s="196" t="s">
        <v>324</v>
      </c>
      <c r="F645" s="195" t="s">
        <v>393</v>
      </c>
      <c r="G645" s="195" t="s">
        <v>434</v>
      </c>
    </row>
    <row r="646" spans="1:7" hidden="1">
      <c r="A646" s="194" t="s">
        <v>634</v>
      </c>
      <c r="B646" s="195">
        <v>-77400</v>
      </c>
      <c r="C646" s="195">
        <v>0</v>
      </c>
      <c r="D646" s="196" t="s">
        <v>440</v>
      </c>
      <c r="E646" s="196" t="s">
        <v>439</v>
      </c>
      <c r="F646" s="195" t="s">
        <v>394</v>
      </c>
      <c r="G646" s="195" t="s">
        <v>434</v>
      </c>
    </row>
    <row r="647" spans="1:7" hidden="1">
      <c r="A647" s="194" t="s">
        <v>635</v>
      </c>
      <c r="B647" s="195">
        <v>1121145</v>
      </c>
      <c r="C647" s="195">
        <v>0</v>
      </c>
      <c r="D647" s="196" t="s">
        <v>440</v>
      </c>
      <c r="E647" s="196" t="s">
        <v>317</v>
      </c>
      <c r="F647" s="195" t="s">
        <v>394</v>
      </c>
      <c r="G647" s="195" t="s">
        <v>434</v>
      </c>
    </row>
    <row r="648" spans="1:7" hidden="1">
      <c r="A648" s="194" t="s">
        <v>635</v>
      </c>
      <c r="B648" s="195">
        <v>-105000</v>
      </c>
      <c r="C648" s="195">
        <v>0</v>
      </c>
      <c r="D648" s="196" t="s">
        <v>440</v>
      </c>
      <c r="E648" s="196" t="s">
        <v>317</v>
      </c>
      <c r="F648" s="195" t="s">
        <v>410</v>
      </c>
      <c r="G648" s="195" t="s">
        <v>434</v>
      </c>
    </row>
    <row r="649" spans="1:7" hidden="1">
      <c r="A649" s="194" t="s">
        <v>635</v>
      </c>
      <c r="B649" s="195">
        <v>-48215</v>
      </c>
      <c r="C649" s="195">
        <v>0</v>
      </c>
      <c r="D649" s="196" t="s">
        <v>440</v>
      </c>
      <c r="E649" s="196" t="s">
        <v>317</v>
      </c>
      <c r="F649" s="195" t="s">
        <v>407</v>
      </c>
      <c r="G649" s="195" t="s">
        <v>434</v>
      </c>
    </row>
    <row r="650" spans="1:7" hidden="1">
      <c r="A650" s="194" t="s">
        <v>635</v>
      </c>
      <c r="B650" s="195">
        <v>-459011</v>
      </c>
      <c r="C650" s="195">
        <v>0</v>
      </c>
      <c r="D650" s="196" t="s">
        <v>440</v>
      </c>
      <c r="E650" s="196" t="s">
        <v>317</v>
      </c>
      <c r="F650" s="195" t="s">
        <v>441</v>
      </c>
      <c r="G650" s="195" t="s">
        <v>434</v>
      </c>
    </row>
    <row r="651" spans="1:7" hidden="1">
      <c r="A651" s="194" t="s">
        <v>635</v>
      </c>
      <c r="B651" s="195">
        <v>255006</v>
      </c>
      <c r="C651" s="195">
        <v>0</v>
      </c>
      <c r="D651" s="196" t="s">
        <v>440</v>
      </c>
      <c r="E651" s="196" t="s">
        <v>317</v>
      </c>
      <c r="F651" s="195" t="s">
        <v>402</v>
      </c>
      <c r="G651" s="195" t="s">
        <v>434</v>
      </c>
    </row>
    <row r="652" spans="1:7" hidden="1">
      <c r="A652" s="194" t="s">
        <v>635</v>
      </c>
      <c r="B652" s="195">
        <v>-47392</v>
      </c>
      <c r="C652" s="195">
        <v>0</v>
      </c>
      <c r="D652" s="196" t="s">
        <v>437</v>
      </c>
      <c r="E652" s="196" t="s">
        <v>317</v>
      </c>
      <c r="F652" s="195" t="s">
        <v>394</v>
      </c>
      <c r="G652" s="195" t="s">
        <v>434</v>
      </c>
    </row>
    <row r="653" spans="1:7" hidden="1">
      <c r="A653" s="194" t="s">
        <v>635</v>
      </c>
      <c r="B653" s="195">
        <v>-311619</v>
      </c>
      <c r="C653" s="195">
        <v>0</v>
      </c>
      <c r="D653" s="196" t="s">
        <v>437</v>
      </c>
      <c r="E653" s="196" t="s">
        <v>317</v>
      </c>
      <c r="F653" s="195" t="s">
        <v>407</v>
      </c>
      <c r="G653" s="195" t="s">
        <v>434</v>
      </c>
    </row>
    <row r="654" spans="1:7" hidden="1">
      <c r="A654" s="194" t="s">
        <v>635</v>
      </c>
      <c r="B654" s="195">
        <v>459011</v>
      </c>
      <c r="C654" s="195">
        <v>0</v>
      </c>
      <c r="D654" s="196" t="s">
        <v>437</v>
      </c>
      <c r="E654" s="196" t="s">
        <v>317</v>
      </c>
      <c r="F654" s="195" t="s">
        <v>441</v>
      </c>
      <c r="G654" s="195" t="s">
        <v>434</v>
      </c>
    </row>
    <row r="655" spans="1:7" hidden="1">
      <c r="A655" s="194" t="s">
        <v>635</v>
      </c>
      <c r="B655" s="195">
        <v>-100000</v>
      </c>
      <c r="C655" s="195">
        <v>0</v>
      </c>
      <c r="D655" s="196" t="s">
        <v>437</v>
      </c>
      <c r="E655" s="196" t="s">
        <v>317</v>
      </c>
      <c r="F655" s="195" t="s">
        <v>402</v>
      </c>
      <c r="G655" s="195" t="s">
        <v>434</v>
      </c>
    </row>
    <row r="656" spans="1:7" hidden="1">
      <c r="A656" s="194" t="s">
        <v>635</v>
      </c>
      <c r="B656" s="195">
        <v>209832</v>
      </c>
      <c r="C656" s="195">
        <v>0</v>
      </c>
      <c r="D656" s="196" t="s">
        <v>442</v>
      </c>
      <c r="E656" s="196" t="s">
        <v>317</v>
      </c>
      <c r="F656" s="195" t="s">
        <v>394</v>
      </c>
      <c r="G656" s="195" t="s">
        <v>434</v>
      </c>
    </row>
    <row r="657" spans="1:7" hidden="1">
      <c r="A657" s="194" t="s">
        <v>635</v>
      </c>
      <c r="B657" s="195">
        <v>-33000</v>
      </c>
      <c r="C657" s="195">
        <v>0</v>
      </c>
      <c r="D657" s="196" t="s">
        <v>442</v>
      </c>
      <c r="E657" s="196" t="s">
        <v>317</v>
      </c>
      <c r="F657" s="195" t="s">
        <v>410</v>
      </c>
      <c r="G657" s="195" t="s">
        <v>434</v>
      </c>
    </row>
    <row r="658" spans="1:7" hidden="1">
      <c r="A658" s="194" t="s">
        <v>635</v>
      </c>
      <c r="B658" s="195">
        <v>-66101</v>
      </c>
      <c r="C658" s="195">
        <v>0</v>
      </c>
      <c r="D658" s="196" t="s">
        <v>442</v>
      </c>
      <c r="E658" s="196" t="s">
        <v>317</v>
      </c>
      <c r="F658" s="195" t="s">
        <v>407</v>
      </c>
      <c r="G658" s="195" t="s">
        <v>434</v>
      </c>
    </row>
    <row r="659" spans="1:7" hidden="1">
      <c r="A659" s="194" t="s">
        <v>635</v>
      </c>
      <c r="B659" s="195">
        <v>87930</v>
      </c>
      <c r="C659" s="195">
        <v>0</v>
      </c>
      <c r="D659" s="196" t="s">
        <v>545</v>
      </c>
      <c r="E659" s="196" t="s">
        <v>317</v>
      </c>
      <c r="F659" s="195" t="s">
        <v>394</v>
      </c>
      <c r="G659" s="195" t="s">
        <v>434</v>
      </c>
    </row>
    <row r="660" spans="1:7" hidden="1">
      <c r="A660" s="194" t="s">
        <v>635</v>
      </c>
      <c r="B660" s="195">
        <v>134518</v>
      </c>
      <c r="C660" s="195">
        <v>0</v>
      </c>
      <c r="D660" s="196" t="s">
        <v>474</v>
      </c>
      <c r="E660" s="196" t="s">
        <v>317</v>
      </c>
      <c r="F660" s="195" t="s">
        <v>394</v>
      </c>
      <c r="G660" s="195" t="s">
        <v>434</v>
      </c>
    </row>
    <row r="661" spans="1:7" hidden="1">
      <c r="A661" s="194" t="s">
        <v>356</v>
      </c>
      <c r="B661" s="195">
        <v>4195</v>
      </c>
      <c r="C661" s="195">
        <v>0</v>
      </c>
      <c r="D661" s="196" t="s">
        <v>283</v>
      </c>
      <c r="E661" s="196" t="s">
        <v>317</v>
      </c>
      <c r="F661" s="195" t="s">
        <v>394</v>
      </c>
      <c r="G661" s="195" t="s">
        <v>434</v>
      </c>
    </row>
    <row r="662" spans="1:7" hidden="1">
      <c r="A662" s="194" t="s">
        <v>356</v>
      </c>
      <c r="B662" s="195">
        <v>-4195</v>
      </c>
      <c r="C662" s="195">
        <v>0</v>
      </c>
      <c r="D662" s="196" t="s">
        <v>283</v>
      </c>
      <c r="E662" s="196" t="s">
        <v>317</v>
      </c>
      <c r="F662" s="195" t="s">
        <v>441</v>
      </c>
      <c r="G662" s="195" t="s">
        <v>434</v>
      </c>
    </row>
    <row r="663" spans="1:7">
      <c r="A663" s="194" t="s">
        <v>356</v>
      </c>
      <c r="B663" s="195">
        <v>14385</v>
      </c>
      <c r="C663" s="195">
        <v>0</v>
      </c>
      <c r="D663" s="196" t="s">
        <v>282</v>
      </c>
      <c r="E663" s="196" t="s">
        <v>317</v>
      </c>
      <c r="F663" s="195" t="s">
        <v>394</v>
      </c>
      <c r="G663" s="195" t="s">
        <v>434</v>
      </c>
    </row>
    <row r="664" spans="1:7">
      <c r="A664" s="194" t="s">
        <v>356</v>
      </c>
      <c r="B664" s="195">
        <v>-1126</v>
      </c>
      <c r="C664" s="195">
        <v>0</v>
      </c>
      <c r="D664" s="196" t="s">
        <v>282</v>
      </c>
      <c r="E664" s="196" t="s">
        <v>317</v>
      </c>
      <c r="F664" s="195" t="s">
        <v>445</v>
      </c>
      <c r="G664" s="195" t="s">
        <v>434</v>
      </c>
    </row>
    <row r="665" spans="1:7">
      <c r="A665" s="194" t="s">
        <v>356</v>
      </c>
      <c r="B665" s="195">
        <v>-19768</v>
      </c>
      <c r="C665" s="195">
        <v>0</v>
      </c>
      <c r="D665" s="196" t="s">
        <v>282</v>
      </c>
      <c r="E665" s="196" t="s">
        <v>317</v>
      </c>
      <c r="F665" s="195" t="s">
        <v>393</v>
      </c>
      <c r="G665" s="195" t="s">
        <v>434</v>
      </c>
    </row>
    <row r="666" spans="1:7">
      <c r="A666" s="194" t="s">
        <v>356</v>
      </c>
      <c r="B666" s="195">
        <v>2314</v>
      </c>
      <c r="C666" s="195">
        <v>0</v>
      </c>
      <c r="D666" s="196" t="s">
        <v>282</v>
      </c>
      <c r="E666" s="196" t="s">
        <v>317</v>
      </c>
      <c r="F666" s="195" t="s">
        <v>413</v>
      </c>
      <c r="G666" s="195" t="s">
        <v>434</v>
      </c>
    </row>
    <row r="667" spans="1:7">
      <c r="A667" s="194" t="s">
        <v>356</v>
      </c>
      <c r="B667" s="195">
        <v>4195</v>
      </c>
      <c r="C667" s="195">
        <v>0</v>
      </c>
      <c r="D667" s="196" t="s">
        <v>282</v>
      </c>
      <c r="E667" s="196" t="s">
        <v>317</v>
      </c>
      <c r="F667" s="195" t="s">
        <v>441</v>
      </c>
      <c r="G667" s="195" t="s">
        <v>434</v>
      </c>
    </row>
    <row r="668" spans="1:7" hidden="1">
      <c r="A668" s="194" t="s">
        <v>636</v>
      </c>
      <c r="B668" s="195">
        <v>155800</v>
      </c>
      <c r="C668" s="195">
        <v>0</v>
      </c>
      <c r="D668" s="196" t="s">
        <v>440</v>
      </c>
      <c r="E668" s="196" t="s">
        <v>39</v>
      </c>
      <c r="F668" s="195" t="s">
        <v>394</v>
      </c>
      <c r="G668" s="195" t="s">
        <v>434</v>
      </c>
    </row>
    <row r="669" spans="1:7" hidden="1">
      <c r="A669" s="194" t="s">
        <v>636</v>
      </c>
      <c r="B669" s="195">
        <v>-155800</v>
      </c>
      <c r="C669" s="195">
        <v>0</v>
      </c>
      <c r="D669" s="196" t="s">
        <v>440</v>
      </c>
      <c r="E669" s="196" t="s">
        <v>39</v>
      </c>
      <c r="F669" s="195" t="s">
        <v>402</v>
      </c>
      <c r="G669" s="195" t="s">
        <v>434</v>
      </c>
    </row>
    <row r="670" spans="1:7" hidden="1">
      <c r="A670" s="194" t="s">
        <v>637</v>
      </c>
      <c r="B670" s="195">
        <v>-1401012</v>
      </c>
      <c r="C670" s="195">
        <v>0</v>
      </c>
      <c r="D670" s="196" t="s">
        <v>440</v>
      </c>
      <c r="E670" s="196" t="s">
        <v>638</v>
      </c>
      <c r="F670" s="195" t="s">
        <v>393</v>
      </c>
      <c r="G670" s="195" t="s">
        <v>434</v>
      </c>
    </row>
    <row r="671" spans="1:7" hidden="1">
      <c r="A671" s="194" t="s">
        <v>376</v>
      </c>
      <c r="B671" s="195">
        <v>7120</v>
      </c>
      <c r="C671" s="195">
        <v>0</v>
      </c>
      <c r="D671" s="196" t="s">
        <v>283</v>
      </c>
      <c r="E671" s="196" t="s">
        <v>639</v>
      </c>
      <c r="F671" s="195" t="s">
        <v>393</v>
      </c>
      <c r="G671" s="195" t="s">
        <v>434</v>
      </c>
    </row>
    <row r="672" spans="1:7">
      <c r="A672" s="194" t="s">
        <v>376</v>
      </c>
      <c r="B672" s="195">
        <v>7120</v>
      </c>
      <c r="C672" s="195">
        <v>0</v>
      </c>
      <c r="D672" s="196" t="s">
        <v>282</v>
      </c>
      <c r="E672" s="196" t="s">
        <v>639</v>
      </c>
      <c r="F672" s="195" t="s">
        <v>393</v>
      </c>
      <c r="G672" s="195" t="s">
        <v>434</v>
      </c>
    </row>
    <row r="673" spans="1:7" hidden="1">
      <c r="A673" s="194" t="s">
        <v>640</v>
      </c>
      <c r="B673" s="195">
        <v>2379</v>
      </c>
      <c r="C673" s="195">
        <v>0</v>
      </c>
      <c r="D673" s="196" t="s">
        <v>442</v>
      </c>
      <c r="E673" s="196" t="s">
        <v>639</v>
      </c>
      <c r="F673" s="195" t="s">
        <v>393</v>
      </c>
      <c r="G673" s="195" t="s">
        <v>434</v>
      </c>
    </row>
    <row r="674" spans="1:7" hidden="1">
      <c r="A674" s="194" t="s">
        <v>641</v>
      </c>
      <c r="B674" s="195">
        <v>-1797</v>
      </c>
      <c r="C674" s="195">
        <v>0</v>
      </c>
      <c r="D674" s="196" t="s">
        <v>442</v>
      </c>
      <c r="E674" s="196" t="s">
        <v>639</v>
      </c>
      <c r="F674" s="195" t="s">
        <v>393</v>
      </c>
      <c r="G674" s="195" t="s">
        <v>434</v>
      </c>
    </row>
    <row r="675" spans="1:7" hidden="1">
      <c r="A675" s="194" t="s">
        <v>642</v>
      </c>
      <c r="B675" s="195">
        <v>-1728</v>
      </c>
      <c r="C675" s="195">
        <v>0</v>
      </c>
      <c r="D675" s="196" t="s">
        <v>442</v>
      </c>
      <c r="E675" s="196" t="s">
        <v>639</v>
      </c>
      <c r="F675" s="195" t="s">
        <v>393</v>
      </c>
      <c r="G675" s="195" t="s">
        <v>434</v>
      </c>
    </row>
    <row r="676" spans="1:7" hidden="1">
      <c r="A676" s="194" t="s">
        <v>643</v>
      </c>
      <c r="B676" s="195">
        <v>-27024</v>
      </c>
      <c r="C676" s="195">
        <v>0</v>
      </c>
      <c r="D676" s="196" t="s">
        <v>440</v>
      </c>
      <c r="E676" s="196" t="s">
        <v>639</v>
      </c>
      <c r="F676" s="195" t="s">
        <v>393</v>
      </c>
      <c r="G676" s="195" t="s">
        <v>434</v>
      </c>
    </row>
    <row r="677" spans="1:7" hidden="1">
      <c r="A677" s="194" t="s">
        <v>377</v>
      </c>
      <c r="B677" s="195">
        <v>1390</v>
      </c>
      <c r="C677" s="195">
        <v>0</v>
      </c>
      <c r="D677" s="196" t="s">
        <v>283</v>
      </c>
      <c r="E677" s="196" t="s">
        <v>639</v>
      </c>
      <c r="F677" s="195" t="s">
        <v>393</v>
      </c>
      <c r="G677" s="195" t="s">
        <v>434</v>
      </c>
    </row>
    <row r="678" spans="1:7">
      <c r="A678" s="194" t="s">
        <v>377</v>
      </c>
      <c r="B678" s="195">
        <v>1390</v>
      </c>
      <c r="C678" s="195">
        <v>0</v>
      </c>
      <c r="D678" s="196" t="s">
        <v>282</v>
      </c>
      <c r="E678" s="196" t="s">
        <v>639</v>
      </c>
      <c r="F678" s="195" t="s">
        <v>393</v>
      </c>
      <c r="G678" s="195" t="s">
        <v>434</v>
      </c>
    </row>
    <row r="679" spans="1:7" hidden="1">
      <c r="A679" s="194" t="s">
        <v>379</v>
      </c>
      <c r="B679" s="195">
        <v>5561</v>
      </c>
      <c r="C679" s="195">
        <v>0</v>
      </c>
      <c r="D679" s="196" t="s">
        <v>283</v>
      </c>
      <c r="E679" s="196" t="s">
        <v>639</v>
      </c>
      <c r="F679" s="195" t="s">
        <v>393</v>
      </c>
      <c r="G679" s="195" t="s">
        <v>434</v>
      </c>
    </row>
    <row r="680" spans="1:7">
      <c r="A680" s="194" t="s">
        <v>379</v>
      </c>
      <c r="B680" s="195">
        <v>5561</v>
      </c>
      <c r="C680" s="195">
        <v>0</v>
      </c>
      <c r="D680" s="196" t="s">
        <v>282</v>
      </c>
      <c r="E680" s="196" t="s">
        <v>639</v>
      </c>
      <c r="F680" s="195" t="s">
        <v>393</v>
      </c>
      <c r="G680" s="195" t="s">
        <v>434</v>
      </c>
    </row>
    <row r="681" spans="1:7" hidden="1">
      <c r="A681" s="194" t="s">
        <v>380</v>
      </c>
      <c r="B681" s="195">
        <v>5800</v>
      </c>
      <c r="C681" s="195">
        <v>0</v>
      </c>
      <c r="D681" s="196" t="s">
        <v>283</v>
      </c>
      <c r="E681" s="196" t="s">
        <v>639</v>
      </c>
      <c r="F681" s="195" t="s">
        <v>393</v>
      </c>
      <c r="G681" s="195" t="s">
        <v>434</v>
      </c>
    </row>
    <row r="682" spans="1:7">
      <c r="A682" s="194" t="s">
        <v>380</v>
      </c>
      <c r="B682" s="195">
        <v>5800</v>
      </c>
      <c r="C682" s="195">
        <v>0</v>
      </c>
      <c r="D682" s="196" t="s">
        <v>282</v>
      </c>
      <c r="E682" s="196" t="s">
        <v>639</v>
      </c>
      <c r="F682" s="195" t="s">
        <v>393</v>
      </c>
      <c r="G682" s="195" t="s">
        <v>434</v>
      </c>
    </row>
    <row r="683" spans="1:7" hidden="1">
      <c r="A683" s="194" t="s">
        <v>644</v>
      </c>
      <c r="B683" s="195">
        <v>-1500</v>
      </c>
      <c r="C683" s="195">
        <v>0</v>
      </c>
      <c r="D683" s="196" t="s">
        <v>440</v>
      </c>
      <c r="E683" s="196" t="s">
        <v>638</v>
      </c>
      <c r="F683" s="195" t="s">
        <v>409</v>
      </c>
      <c r="G683" s="195" t="s">
        <v>434</v>
      </c>
    </row>
    <row r="684" spans="1:7" hidden="1">
      <c r="A684" s="194" t="s">
        <v>645</v>
      </c>
      <c r="B684" s="195">
        <v>-508</v>
      </c>
      <c r="C684" s="195">
        <v>0</v>
      </c>
      <c r="D684" s="196" t="s">
        <v>474</v>
      </c>
      <c r="E684" s="196" t="s">
        <v>638</v>
      </c>
      <c r="F684" s="195" t="s">
        <v>409</v>
      </c>
      <c r="G684" s="195" t="s">
        <v>434</v>
      </c>
    </row>
    <row r="685" spans="1:7" hidden="1">
      <c r="A685" s="194" t="s">
        <v>646</v>
      </c>
      <c r="B685" s="195">
        <v>-7289</v>
      </c>
      <c r="C685" s="195">
        <v>0</v>
      </c>
      <c r="D685" s="196" t="s">
        <v>440</v>
      </c>
      <c r="E685" s="196" t="s">
        <v>638</v>
      </c>
      <c r="F685" s="195" t="s">
        <v>409</v>
      </c>
      <c r="G685" s="195" t="s">
        <v>434</v>
      </c>
    </row>
    <row r="686" spans="1:7" hidden="1">
      <c r="A686" s="194" t="s">
        <v>646</v>
      </c>
      <c r="B686" s="195">
        <v>-443</v>
      </c>
      <c r="C686" s="195">
        <v>0</v>
      </c>
      <c r="D686" s="196" t="s">
        <v>474</v>
      </c>
      <c r="E686" s="196" t="s">
        <v>638</v>
      </c>
      <c r="F686" s="195" t="s">
        <v>409</v>
      </c>
      <c r="G686" s="195" t="s">
        <v>434</v>
      </c>
    </row>
    <row r="687" spans="1:7" hidden="1">
      <c r="A687" s="194" t="s">
        <v>647</v>
      </c>
      <c r="B687" s="195">
        <v>-1985</v>
      </c>
      <c r="C687" s="195">
        <v>0</v>
      </c>
      <c r="D687" s="196" t="s">
        <v>440</v>
      </c>
      <c r="E687" s="196" t="s">
        <v>638</v>
      </c>
      <c r="F687" s="195" t="s">
        <v>409</v>
      </c>
      <c r="G687" s="195" t="s">
        <v>434</v>
      </c>
    </row>
    <row r="688" spans="1:7" hidden="1">
      <c r="A688" s="194" t="s">
        <v>648</v>
      </c>
      <c r="B688" s="195">
        <v>-2021</v>
      </c>
      <c r="C688" s="195">
        <v>0</v>
      </c>
      <c r="D688" s="196" t="s">
        <v>440</v>
      </c>
      <c r="E688" s="196" t="s">
        <v>638</v>
      </c>
      <c r="F688" s="195" t="s">
        <v>409</v>
      </c>
      <c r="G688" s="195" t="s">
        <v>434</v>
      </c>
    </row>
    <row r="689" spans="1:7" hidden="1">
      <c r="A689" s="194" t="s">
        <v>649</v>
      </c>
      <c r="B689" s="195">
        <v>-2019</v>
      </c>
      <c r="C689" s="195">
        <v>0</v>
      </c>
      <c r="D689" s="196" t="s">
        <v>440</v>
      </c>
      <c r="E689" s="196" t="s">
        <v>638</v>
      </c>
      <c r="F689" s="195" t="s">
        <v>409</v>
      </c>
      <c r="G689" s="195" t="s">
        <v>434</v>
      </c>
    </row>
    <row r="690" spans="1:7" hidden="1">
      <c r="A690" s="194" t="s">
        <v>650</v>
      </c>
      <c r="B690" s="195">
        <v>-2991</v>
      </c>
      <c r="C690" s="195">
        <v>0</v>
      </c>
      <c r="D690" s="196" t="s">
        <v>440</v>
      </c>
      <c r="E690" s="196" t="s">
        <v>638</v>
      </c>
      <c r="F690" s="195" t="s">
        <v>409</v>
      </c>
      <c r="G690" s="195" t="s">
        <v>434</v>
      </c>
    </row>
    <row r="691" spans="1:7" hidden="1">
      <c r="A691" s="194" t="s">
        <v>651</v>
      </c>
      <c r="B691" s="195">
        <v>-1957</v>
      </c>
      <c r="C691" s="195">
        <v>0</v>
      </c>
      <c r="D691" s="196" t="s">
        <v>440</v>
      </c>
      <c r="E691" s="196" t="s">
        <v>638</v>
      </c>
      <c r="F691" s="195" t="s">
        <v>409</v>
      </c>
      <c r="G691" s="195" t="s">
        <v>434</v>
      </c>
    </row>
    <row r="692" spans="1:7" hidden="1">
      <c r="A692" s="194" t="s">
        <v>370</v>
      </c>
      <c r="B692" s="195">
        <v>98</v>
      </c>
      <c r="C692" s="195">
        <v>0</v>
      </c>
      <c r="D692" s="196" t="s">
        <v>283</v>
      </c>
      <c r="E692" s="196" t="s">
        <v>639</v>
      </c>
      <c r="F692" s="195" t="s">
        <v>652</v>
      </c>
      <c r="G692" s="195" t="s">
        <v>434</v>
      </c>
    </row>
    <row r="693" spans="1:7">
      <c r="A693" s="194" t="s">
        <v>370</v>
      </c>
      <c r="B693" s="195">
        <v>98</v>
      </c>
      <c r="C693" s="195">
        <v>0</v>
      </c>
      <c r="D693" s="196" t="s">
        <v>282</v>
      </c>
      <c r="E693" s="196" t="s">
        <v>639</v>
      </c>
      <c r="F693" s="195" t="s">
        <v>652</v>
      </c>
      <c r="G693" s="195" t="s">
        <v>434</v>
      </c>
    </row>
    <row r="694" spans="1:7" hidden="1">
      <c r="A694" s="194" t="s">
        <v>374</v>
      </c>
      <c r="B694" s="195">
        <v>192</v>
      </c>
      <c r="C694" s="195">
        <v>0</v>
      </c>
      <c r="D694" s="196" t="s">
        <v>283</v>
      </c>
      <c r="E694" s="196" t="s">
        <v>639</v>
      </c>
      <c r="F694" s="195" t="s">
        <v>652</v>
      </c>
      <c r="G694" s="195" t="s">
        <v>434</v>
      </c>
    </row>
    <row r="695" spans="1:7">
      <c r="A695" s="194" t="s">
        <v>374</v>
      </c>
      <c r="B695" s="195">
        <v>192</v>
      </c>
      <c r="C695" s="195">
        <v>0</v>
      </c>
      <c r="D695" s="196" t="s">
        <v>282</v>
      </c>
      <c r="E695" s="196" t="s">
        <v>639</v>
      </c>
      <c r="F695" s="195" t="s">
        <v>652</v>
      </c>
      <c r="G695" s="195" t="s">
        <v>434</v>
      </c>
    </row>
    <row r="696" spans="1:7" hidden="1">
      <c r="A696" s="194" t="s">
        <v>372</v>
      </c>
      <c r="B696" s="195">
        <v>2418</v>
      </c>
      <c r="C696" s="195">
        <v>0</v>
      </c>
      <c r="D696" s="196" t="s">
        <v>283</v>
      </c>
      <c r="E696" s="196" t="s">
        <v>639</v>
      </c>
      <c r="F696" s="195" t="s">
        <v>652</v>
      </c>
      <c r="G696" s="195" t="s">
        <v>434</v>
      </c>
    </row>
    <row r="697" spans="1:7">
      <c r="A697" s="194" t="s">
        <v>372</v>
      </c>
      <c r="B697" s="195">
        <v>2418</v>
      </c>
      <c r="C697" s="195">
        <v>0</v>
      </c>
      <c r="D697" s="196" t="s">
        <v>282</v>
      </c>
      <c r="E697" s="196" t="s">
        <v>639</v>
      </c>
      <c r="F697" s="195" t="s">
        <v>652</v>
      </c>
      <c r="G697" s="195" t="s">
        <v>434</v>
      </c>
    </row>
    <row r="698" spans="1:7" hidden="1">
      <c r="A698" s="194" t="s">
        <v>375</v>
      </c>
      <c r="B698" s="195">
        <v>1185</v>
      </c>
      <c r="C698" s="195">
        <v>0</v>
      </c>
      <c r="D698" s="196" t="s">
        <v>283</v>
      </c>
      <c r="E698" s="196" t="s">
        <v>639</v>
      </c>
      <c r="F698" s="195" t="s">
        <v>652</v>
      </c>
      <c r="G698" s="195" t="s">
        <v>434</v>
      </c>
    </row>
    <row r="699" spans="1:7">
      <c r="A699" s="194" t="s">
        <v>375</v>
      </c>
      <c r="B699" s="195">
        <v>1186</v>
      </c>
      <c r="C699" s="195">
        <v>0</v>
      </c>
      <c r="D699" s="196" t="s">
        <v>282</v>
      </c>
      <c r="E699" s="196" t="s">
        <v>639</v>
      </c>
      <c r="F699" s="195" t="s">
        <v>652</v>
      </c>
      <c r="G699" s="195" t="s">
        <v>434</v>
      </c>
    </row>
    <row r="700" spans="1:7" hidden="1">
      <c r="A700" s="194" t="s">
        <v>653</v>
      </c>
      <c r="B700" s="195">
        <v>-8863</v>
      </c>
      <c r="C700" s="195">
        <v>0</v>
      </c>
      <c r="D700" s="196" t="s">
        <v>442</v>
      </c>
      <c r="E700" s="196" t="s">
        <v>638</v>
      </c>
      <c r="F700" s="195" t="s">
        <v>652</v>
      </c>
      <c r="G700" s="195" t="s">
        <v>434</v>
      </c>
    </row>
    <row r="701" spans="1:7" hidden="1">
      <c r="A701" s="194" t="s">
        <v>654</v>
      </c>
      <c r="B701" s="195">
        <v>-675998</v>
      </c>
      <c r="C701" s="195">
        <v>0</v>
      </c>
      <c r="D701" s="196" t="s">
        <v>442</v>
      </c>
      <c r="E701" s="196" t="s">
        <v>638</v>
      </c>
      <c r="F701" s="195" t="s">
        <v>652</v>
      </c>
      <c r="G701" s="195" t="s">
        <v>434</v>
      </c>
    </row>
    <row r="702" spans="1:7" hidden="1">
      <c r="A702" s="194" t="s">
        <v>655</v>
      </c>
      <c r="B702" s="195">
        <v>-3158</v>
      </c>
      <c r="C702" s="195">
        <v>0</v>
      </c>
      <c r="D702" s="196" t="s">
        <v>440</v>
      </c>
      <c r="E702" s="196" t="s">
        <v>639</v>
      </c>
      <c r="F702" s="195" t="s">
        <v>393</v>
      </c>
      <c r="G702" s="195" t="s">
        <v>434</v>
      </c>
    </row>
    <row r="703" spans="1:7" hidden="1">
      <c r="A703" s="194" t="s">
        <v>656</v>
      </c>
      <c r="B703" s="195">
        <v>-6018</v>
      </c>
      <c r="C703" s="195">
        <v>0</v>
      </c>
      <c r="D703" s="196" t="s">
        <v>440</v>
      </c>
      <c r="E703" s="196" t="s">
        <v>639</v>
      </c>
      <c r="F703" s="195" t="s">
        <v>393</v>
      </c>
      <c r="G703" s="195" t="s">
        <v>434</v>
      </c>
    </row>
    <row r="704" spans="1:7" hidden="1">
      <c r="A704" s="194" t="s">
        <v>657</v>
      </c>
      <c r="B704" s="195">
        <v>-27197</v>
      </c>
      <c r="C704" s="195">
        <v>0</v>
      </c>
      <c r="D704" s="196" t="s">
        <v>440</v>
      </c>
      <c r="E704" s="196" t="s">
        <v>439</v>
      </c>
      <c r="F704" s="195" t="s">
        <v>394</v>
      </c>
      <c r="G704" s="195" t="s">
        <v>434</v>
      </c>
    </row>
    <row r="705" spans="1:7" hidden="1">
      <c r="A705" s="194" t="s">
        <v>658</v>
      </c>
      <c r="B705" s="195">
        <v>54530</v>
      </c>
      <c r="C705" s="195">
        <v>0</v>
      </c>
      <c r="D705" s="196" t="s">
        <v>440</v>
      </c>
      <c r="E705" s="196" t="s">
        <v>317</v>
      </c>
      <c r="F705" s="195" t="s">
        <v>394</v>
      </c>
      <c r="G705" s="195" t="s">
        <v>434</v>
      </c>
    </row>
    <row r="706" spans="1:7" hidden="1">
      <c r="A706" s="194" t="s">
        <v>658</v>
      </c>
      <c r="B706" s="195">
        <v>-54530</v>
      </c>
      <c r="C706" s="195">
        <v>0</v>
      </c>
      <c r="D706" s="196" t="s">
        <v>440</v>
      </c>
      <c r="E706" s="196" t="s">
        <v>317</v>
      </c>
      <c r="F706" s="195" t="s">
        <v>441</v>
      </c>
      <c r="G706" s="195" t="s">
        <v>434</v>
      </c>
    </row>
    <row r="707" spans="1:7">
      <c r="A707" s="194" t="s">
        <v>658</v>
      </c>
      <c r="B707" s="195">
        <v>-35964</v>
      </c>
      <c r="C707" s="195">
        <v>0</v>
      </c>
      <c r="D707" s="196" t="s">
        <v>282</v>
      </c>
      <c r="E707" s="196" t="s">
        <v>317</v>
      </c>
      <c r="F707" s="195" t="s">
        <v>394</v>
      </c>
      <c r="G707" s="195" t="s">
        <v>434</v>
      </c>
    </row>
    <row r="708" spans="1:7">
      <c r="A708" s="194" t="s">
        <v>658</v>
      </c>
      <c r="B708" s="195">
        <v>-18566</v>
      </c>
      <c r="C708" s="195">
        <v>0</v>
      </c>
      <c r="D708" s="196" t="s">
        <v>282</v>
      </c>
      <c r="E708" s="196" t="s">
        <v>317</v>
      </c>
      <c r="F708" s="195" t="s">
        <v>393</v>
      </c>
      <c r="G708" s="195" t="s">
        <v>434</v>
      </c>
    </row>
    <row r="709" spans="1:7">
      <c r="A709" s="194" t="s">
        <v>658</v>
      </c>
      <c r="B709" s="195">
        <v>54530</v>
      </c>
      <c r="C709" s="195">
        <v>0</v>
      </c>
      <c r="D709" s="196" t="s">
        <v>282</v>
      </c>
      <c r="E709" s="196" t="s">
        <v>317</v>
      </c>
      <c r="F709" s="195" t="s">
        <v>441</v>
      </c>
      <c r="G709" s="195" t="s">
        <v>434</v>
      </c>
    </row>
    <row r="710" spans="1:7" hidden="1">
      <c r="A710" s="194" t="s">
        <v>659</v>
      </c>
      <c r="B710" s="195">
        <v>-7500000</v>
      </c>
      <c r="C710" s="195">
        <v>0</v>
      </c>
      <c r="D710" s="196" t="s">
        <v>437</v>
      </c>
      <c r="E710" s="196" t="s">
        <v>660</v>
      </c>
      <c r="F710" s="195" t="s">
        <v>394</v>
      </c>
      <c r="G710" s="195" t="s">
        <v>434</v>
      </c>
    </row>
    <row r="711" spans="1:7" hidden="1">
      <c r="A711" s="194" t="s">
        <v>659</v>
      </c>
      <c r="B711" s="195">
        <v>7500000</v>
      </c>
      <c r="C711" s="195">
        <v>0</v>
      </c>
      <c r="D711" s="196" t="s">
        <v>437</v>
      </c>
      <c r="E711" s="196" t="s">
        <v>660</v>
      </c>
      <c r="F711" s="195" t="s">
        <v>393</v>
      </c>
      <c r="G711" s="195" t="s">
        <v>434</v>
      </c>
    </row>
    <row r="712" spans="1:7">
      <c r="A712" s="194" t="s">
        <v>661</v>
      </c>
      <c r="B712" s="195">
        <v>-466</v>
      </c>
      <c r="C712" s="195">
        <v>0</v>
      </c>
      <c r="D712" s="196" t="s">
        <v>282</v>
      </c>
      <c r="E712" s="196" t="s">
        <v>317</v>
      </c>
      <c r="F712" s="195" t="s">
        <v>394</v>
      </c>
      <c r="G712" s="195" t="s">
        <v>434</v>
      </c>
    </row>
    <row r="713" spans="1:7">
      <c r="A713" s="194" t="s">
        <v>661</v>
      </c>
      <c r="B713" s="195">
        <v>466</v>
      </c>
      <c r="C713" s="195">
        <v>0</v>
      </c>
      <c r="D713" s="196" t="s">
        <v>282</v>
      </c>
      <c r="E713" s="196" t="s">
        <v>317</v>
      </c>
      <c r="F713" s="195" t="s">
        <v>413</v>
      </c>
      <c r="G713" s="195" t="s">
        <v>434</v>
      </c>
    </row>
    <row r="714" spans="1:7">
      <c r="A714" s="194" t="s">
        <v>662</v>
      </c>
      <c r="B714" s="195">
        <v>729</v>
      </c>
      <c r="C714" s="195">
        <v>0</v>
      </c>
      <c r="D714" s="196" t="s">
        <v>282</v>
      </c>
      <c r="E714" s="196" t="s">
        <v>317</v>
      </c>
      <c r="F714" s="195" t="s">
        <v>394</v>
      </c>
      <c r="G714" s="195" t="s">
        <v>434</v>
      </c>
    </row>
    <row r="715" spans="1:7">
      <c r="A715" s="194" t="s">
        <v>662</v>
      </c>
      <c r="B715" s="195">
        <v>5861</v>
      </c>
      <c r="C715" s="195">
        <v>0</v>
      </c>
      <c r="D715" s="196" t="s">
        <v>282</v>
      </c>
      <c r="E715" s="196" t="s">
        <v>317</v>
      </c>
      <c r="F715" s="195" t="s">
        <v>445</v>
      </c>
      <c r="G715" s="195" t="s">
        <v>434</v>
      </c>
    </row>
    <row r="716" spans="1:7">
      <c r="A716" s="194" t="s">
        <v>662</v>
      </c>
      <c r="B716" s="195">
        <v>-1500</v>
      </c>
      <c r="C716" s="195">
        <v>0</v>
      </c>
      <c r="D716" s="196" t="s">
        <v>282</v>
      </c>
      <c r="E716" s="196" t="s">
        <v>317</v>
      </c>
      <c r="F716" s="195" t="s">
        <v>404</v>
      </c>
      <c r="G716" s="195" t="s">
        <v>434</v>
      </c>
    </row>
    <row r="717" spans="1:7">
      <c r="A717" s="194" t="s">
        <v>662</v>
      </c>
      <c r="B717" s="195">
        <v>5610</v>
      </c>
      <c r="C717" s="195">
        <v>0</v>
      </c>
      <c r="D717" s="196" t="s">
        <v>282</v>
      </c>
      <c r="E717" s="196" t="s">
        <v>317</v>
      </c>
      <c r="F717" s="195" t="s">
        <v>393</v>
      </c>
      <c r="G717" s="195" t="s">
        <v>434</v>
      </c>
    </row>
    <row r="718" spans="1:7">
      <c r="A718" s="194" t="s">
        <v>662</v>
      </c>
      <c r="B718" s="195">
        <v>-10700</v>
      </c>
      <c r="C718" s="195">
        <v>0</v>
      </c>
      <c r="D718" s="196" t="s">
        <v>282</v>
      </c>
      <c r="E718" s="196" t="s">
        <v>317</v>
      </c>
      <c r="F718" s="195" t="s">
        <v>402</v>
      </c>
      <c r="G718" s="195" t="s">
        <v>434</v>
      </c>
    </row>
    <row r="719" spans="1:7">
      <c r="A719" s="194" t="s">
        <v>96</v>
      </c>
      <c r="B719" s="195">
        <v>65176</v>
      </c>
      <c r="C719" s="195">
        <v>0</v>
      </c>
      <c r="D719" s="196" t="s">
        <v>282</v>
      </c>
      <c r="E719" s="196" t="s">
        <v>39</v>
      </c>
      <c r="F719" s="195" t="s">
        <v>394</v>
      </c>
      <c r="G719" s="195" t="s">
        <v>434</v>
      </c>
    </row>
    <row r="720" spans="1:7">
      <c r="A720" s="194" t="s">
        <v>96</v>
      </c>
      <c r="B720" s="195">
        <v>-5857</v>
      </c>
      <c r="C720" s="195">
        <v>0</v>
      </c>
      <c r="D720" s="196" t="s">
        <v>282</v>
      </c>
      <c r="E720" s="196" t="s">
        <v>39</v>
      </c>
      <c r="F720" s="195" t="s">
        <v>445</v>
      </c>
      <c r="G720" s="195" t="s">
        <v>434</v>
      </c>
    </row>
    <row r="721" spans="1:7">
      <c r="A721" s="194" t="s">
        <v>96</v>
      </c>
      <c r="B721" s="195">
        <v>-52218</v>
      </c>
      <c r="C721" s="195">
        <v>0</v>
      </c>
      <c r="D721" s="196" t="s">
        <v>282</v>
      </c>
      <c r="E721" s="196" t="s">
        <v>39</v>
      </c>
      <c r="F721" s="195" t="s">
        <v>393</v>
      </c>
      <c r="G721" s="195" t="s">
        <v>434</v>
      </c>
    </row>
    <row r="722" spans="1:7">
      <c r="A722" s="194" t="s">
        <v>96</v>
      </c>
      <c r="B722" s="195">
        <v>-7101</v>
      </c>
      <c r="C722" s="195">
        <v>0</v>
      </c>
      <c r="D722" s="196" t="s">
        <v>282</v>
      </c>
      <c r="E722" s="196" t="s">
        <v>39</v>
      </c>
      <c r="F722" s="195" t="s">
        <v>407</v>
      </c>
      <c r="G722" s="195" t="s">
        <v>434</v>
      </c>
    </row>
    <row r="723" spans="1:7" hidden="1">
      <c r="A723" s="194" t="s">
        <v>663</v>
      </c>
      <c r="B723" s="195">
        <v>1</v>
      </c>
      <c r="C723" s="195">
        <v>0</v>
      </c>
      <c r="D723" s="196" t="s">
        <v>283</v>
      </c>
      <c r="E723" s="196" t="s">
        <v>327</v>
      </c>
      <c r="F723" s="195" t="s">
        <v>394</v>
      </c>
      <c r="G723" s="195" t="s">
        <v>434</v>
      </c>
    </row>
    <row r="724" spans="1:7" hidden="1">
      <c r="A724" s="194" t="s">
        <v>663</v>
      </c>
      <c r="B724" s="195">
        <v>-1</v>
      </c>
      <c r="C724" s="195">
        <v>0</v>
      </c>
      <c r="D724" s="196" t="s">
        <v>283</v>
      </c>
      <c r="E724" s="196" t="s">
        <v>327</v>
      </c>
      <c r="F724" s="195" t="s">
        <v>441</v>
      </c>
      <c r="G724" s="195" t="s">
        <v>434</v>
      </c>
    </row>
    <row r="725" spans="1:7">
      <c r="A725" s="194" t="s">
        <v>663</v>
      </c>
      <c r="B725" s="195">
        <v>-1</v>
      </c>
      <c r="C725" s="195">
        <v>0</v>
      </c>
      <c r="D725" s="196" t="s">
        <v>282</v>
      </c>
      <c r="E725" s="196" t="s">
        <v>327</v>
      </c>
      <c r="F725" s="195" t="s">
        <v>394</v>
      </c>
      <c r="G725" s="195" t="s">
        <v>434</v>
      </c>
    </row>
    <row r="726" spans="1:7">
      <c r="A726" s="194" t="s">
        <v>663</v>
      </c>
      <c r="B726" s="195">
        <v>1</v>
      </c>
      <c r="C726" s="195">
        <v>0</v>
      </c>
      <c r="D726" s="196" t="s">
        <v>282</v>
      </c>
      <c r="E726" s="196" t="s">
        <v>327</v>
      </c>
      <c r="F726" s="195" t="s">
        <v>441</v>
      </c>
      <c r="G726" s="195" t="s">
        <v>434</v>
      </c>
    </row>
    <row r="727" spans="1:7" hidden="1">
      <c r="A727" s="194" t="s">
        <v>664</v>
      </c>
      <c r="B727" s="195">
        <v>-1</v>
      </c>
      <c r="C727" s="195">
        <v>0</v>
      </c>
      <c r="D727" s="196" t="s">
        <v>283</v>
      </c>
      <c r="E727" s="196" t="s">
        <v>327</v>
      </c>
      <c r="F727" s="195" t="s">
        <v>394</v>
      </c>
      <c r="G727" s="195" t="s">
        <v>434</v>
      </c>
    </row>
    <row r="728" spans="1:7" hidden="1">
      <c r="A728" s="194" t="s">
        <v>664</v>
      </c>
      <c r="B728" s="195">
        <v>1</v>
      </c>
      <c r="C728" s="195">
        <v>0</v>
      </c>
      <c r="D728" s="196" t="s">
        <v>283</v>
      </c>
      <c r="E728" s="196" t="s">
        <v>327</v>
      </c>
      <c r="F728" s="195" t="s">
        <v>441</v>
      </c>
      <c r="G728" s="195" t="s">
        <v>434</v>
      </c>
    </row>
    <row r="729" spans="1:7">
      <c r="A729" s="194" t="s">
        <v>664</v>
      </c>
      <c r="B729" s="195">
        <v>1</v>
      </c>
      <c r="C729" s="195">
        <v>0</v>
      </c>
      <c r="D729" s="196" t="s">
        <v>282</v>
      </c>
      <c r="E729" s="196" t="s">
        <v>327</v>
      </c>
      <c r="F729" s="195" t="s">
        <v>394</v>
      </c>
      <c r="G729" s="195" t="s">
        <v>434</v>
      </c>
    </row>
    <row r="730" spans="1:7">
      <c r="A730" s="194" t="s">
        <v>664</v>
      </c>
      <c r="B730" s="195">
        <v>-1</v>
      </c>
      <c r="C730" s="195">
        <v>0</v>
      </c>
      <c r="D730" s="196" t="s">
        <v>282</v>
      </c>
      <c r="E730" s="196" t="s">
        <v>327</v>
      </c>
      <c r="F730" s="195" t="s">
        <v>441</v>
      </c>
      <c r="G730" s="195" t="s">
        <v>434</v>
      </c>
    </row>
    <row r="731" spans="1:7" hidden="1">
      <c r="A731" s="194" t="s">
        <v>665</v>
      </c>
      <c r="B731" s="195">
        <v>-5568</v>
      </c>
      <c r="C731" s="195">
        <v>0</v>
      </c>
      <c r="D731" s="196" t="s">
        <v>442</v>
      </c>
      <c r="E731" s="196" t="s">
        <v>317</v>
      </c>
      <c r="F731" s="195" t="s">
        <v>394</v>
      </c>
      <c r="G731" s="195" t="s">
        <v>434</v>
      </c>
    </row>
    <row r="732" spans="1:7" hidden="1">
      <c r="A732" s="194" t="s">
        <v>82</v>
      </c>
      <c r="B732" s="195">
        <v>1405</v>
      </c>
      <c r="C732" s="195">
        <v>0</v>
      </c>
      <c r="D732" s="196" t="s">
        <v>283</v>
      </c>
      <c r="E732" s="196" t="s">
        <v>317</v>
      </c>
      <c r="F732" s="195" t="s">
        <v>394</v>
      </c>
      <c r="G732" s="195" t="s">
        <v>434</v>
      </c>
    </row>
    <row r="733" spans="1:7" hidden="1">
      <c r="A733" s="194" t="s">
        <v>82</v>
      </c>
      <c r="B733" s="195">
        <v>-1405</v>
      </c>
      <c r="C733" s="195">
        <v>0</v>
      </c>
      <c r="D733" s="196" t="s">
        <v>283</v>
      </c>
      <c r="E733" s="196" t="s">
        <v>317</v>
      </c>
      <c r="F733" s="195" t="s">
        <v>441</v>
      </c>
      <c r="G733" s="195" t="s">
        <v>434</v>
      </c>
    </row>
    <row r="734" spans="1:7">
      <c r="A734" s="194" t="s">
        <v>82</v>
      </c>
      <c r="B734" s="195">
        <v>3229</v>
      </c>
      <c r="C734" s="195">
        <v>0</v>
      </c>
      <c r="D734" s="196" t="s">
        <v>282</v>
      </c>
      <c r="E734" s="196" t="s">
        <v>317</v>
      </c>
      <c r="F734" s="195" t="s">
        <v>394</v>
      </c>
      <c r="G734" s="195" t="s">
        <v>434</v>
      </c>
    </row>
    <row r="735" spans="1:7">
      <c r="A735" s="194" t="s">
        <v>82</v>
      </c>
      <c r="B735" s="195">
        <v>2217</v>
      </c>
      <c r="C735" s="195">
        <v>0</v>
      </c>
      <c r="D735" s="196" t="s">
        <v>282</v>
      </c>
      <c r="E735" s="196" t="s">
        <v>317</v>
      </c>
      <c r="F735" s="195" t="s">
        <v>393</v>
      </c>
      <c r="G735" s="195" t="s">
        <v>434</v>
      </c>
    </row>
    <row r="736" spans="1:7">
      <c r="A736" s="194" t="s">
        <v>82</v>
      </c>
      <c r="B736" s="195">
        <v>-4442</v>
      </c>
      <c r="C736" s="195">
        <v>0</v>
      </c>
      <c r="D736" s="196" t="s">
        <v>282</v>
      </c>
      <c r="E736" s="196" t="s">
        <v>317</v>
      </c>
      <c r="F736" s="195" t="s">
        <v>413</v>
      </c>
      <c r="G736" s="195" t="s">
        <v>434</v>
      </c>
    </row>
    <row r="737" spans="1:7">
      <c r="A737" s="194" t="s">
        <v>82</v>
      </c>
      <c r="B737" s="195">
        <v>-2409</v>
      </c>
      <c r="C737" s="195">
        <v>0</v>
      </c>
      <c r="D737" s="196" t="s">
        <v>282</v>
      </c>
      <c r="E737" s="196" t="s">
        <v>317</v>
      </c>
      <c r="F737" s="195" t="s">
        <v>403</v>
      </c>
      <c r="G737" s="195" t="s">
        <v>434</v>
      </c>
    </row>
    <row r="738" spans="1:7">
      <c r="A738" s="194" t="s">
        <v>82</v>
      </c>
      <c r="B738" s="195">
        <v>1405</v>
      </c>
      <c r="C738" s="195">
        <v>0</v>
      </c>
      <c r="D738" s="196" t="s">
        <v>282</v>
      </c>
      <c r="E738" s="196" t="s">
        <v>317</v>
      </c>
      <c r="F738" s="195" t="s">
        <v>441</v>
      </c>
      <c r="G738" s="195" t="s">
        <v>434</v>
      </c>
    </row>
    <row r="739" spans="1:7" hidden="1">
      <c r="A739" s="194" t="s">
        <v>666</v>
      </c>
      <c r="B739" s="195">
        <v>47</v>
      </c>
      <c r="C739" s="195">
        <v>0</v>
      </c>
      <c r="D739" s="196" t="s">
        <v>283</v>
      </c>
      <c r="E739" s="196" t="s">
        <v>319</v>
      </c>
      <c r="F739" s="195" t="s">
        <v>394</v>
      </c>
      <c r="G739" s="195" t="s">
        <v>434</v>
      </c>
    </row>
    <row r="740" spans="1:7">
      <c r="A740" s="194" t="s">
        <v>666</v>
      </c>
      <c r="B740" s="195">
        <v>-47</v>
      </c>
      <c r="C740" s="195">
        <v>0</v>
      </c>
      <c r="D740" s="196" t="s">
        <v>282</v>
      </c>
      <c r="E740" s="196" t="s">
        <v>319</v>
      </c>
      <c r="F740" s="195" t="s">
        <v>394</v>
      </c>
      <c r="G740" s="195" t="s">
        <v>434</v>
      </c>
    </row>
    <row r="741" spans="1:7">
      <c r="A741" s="194" t="s">
        <v>666</v>
      </c>
      <c r="B741" s="195">
        <v>95</v>
      </c>
      <c r="C741" s="195">
        <v>0</v>
      </c>
      <c r="D741" s="196" t="s">
        <v>282</v>
      </c>
      <c r="E741" s="196" t="s">
        <v>319</v>
      </c>
      <c r="F741" s="195" t="s">
        <v>408</v>
      </c>
      <c r="G741" s="195" t="s">
        <v>434</v>
      </c>
    </row>
    <row r="742" spans="1:7" hidden="1">
      <c r="A742" s="194" t="s">
        <v>667</v>
      </c>
      <c r="B742" s="195">
        <v>-8</v>
      </c>
      <c r="C742" s="195">
        <v>0</v>
      </c>
      <c r="D742" s="196" t="s">
        <v>463</v>
      </c>
      <c r="E742" s="196" t="s">
        <v>668</v>
      </c>
      <c r="F742" s="195" t="s">
        <v>394</v>
      </c>
      <c r="G742" s="195" t="s">
        <v>434</v>
      </c>
    </row>
    <row r="743" spans="1:7">
      <c r="A743" s="194" t="s">
        <v>669</v>
      </c>
      <c r="B743" s="195">
        <v>-2</v>
      </c>
      <c r="C743" s="195">
        <v>0</v>
      </c>
      <c r="D743" s="196" t="s">
        <v>282</v>
      </c>
      <c r="E743" s="196" t="s">
        <v>517</v>
      </c>
      <c r="F743" s="195" t="s">
        <v>394</v>
      </c>
      <c r="G743" s="195" t="s">
        <v>434</v>
      </c>
    </row>
    <row r="744" spans="1:7">
      <c r="A744" s="194" t="s">
        <v>669</v>
      </c>
      <c r="B744" s="195">
        <v>2</v>
      </c>
      <c r="C744" s="195">
        <v>0</v>
      </c>
      <c r="D744" s="196" t="s">
        <v>282</v>
      </c>
      <c r="E744" s="196" t="s">
        <v>517</v>
      </c>
      <c r="F744" s="195" t="s">
        <v>393</v>
      </c>
      <c r="G744" s="195" t="s">
        <v>434</v>
      </c>
    </row>
    <row r="745" spans="1:7" hidden="1">
      <c r="A745" s="194" t="s">
        <v>670</v>
      </c>
      <c r="B745" s="195">
        <v>-31150</v>
      </c>
      <c r="C745" s="195">
        <v>0</v>
      </c>
      <c r="D745" s="196" t="s">
        <v>440</v>
      </c>
      <c r="E745" s="196" t="s">
        <v>439</v>
      </c>
      <c r="F745" s="195" t="s">
        <v>394</v>
      </c>
      <c r="G745" s="195" t="s">
        <v>434</v>
      </c>
    </row>
    <row r="746" spans="1:7" hidden="1">
      <c r="A746" s="194" t="s">
        <v>671</v>
      </c>
      <c r="B746" s="195">
        <v>93000000</v>
      </c>
      <c r="C746" s="195">
        <v>0</v>
      </c>
      <c r="D746" s="196" t="s">
        <v>437</v>
      </c>
      <c r="E746" s="196" t="s">
        <v>672</v>
      </c>
      <c r="F746" s="195" t="s">
        <v>673</v>
      </c>
      <c r="G746" s="195" t="s">
        <v>434</v>
      </c>
    </row>
    <row r="747" spans="1:7" hidden="1">
      <c r="A747" s="194" t="s">
        <v>674</v>
      </c>
      <c r="B747" s="195">
        <v>130200000</v>
      </c>
      <c r="C747" s="195">
        <v>0</v>
      </c>
      <c r="D747" s="196" t="s">
        <v>437</v>
      </c>
      <c r="E747" s="196" t="s">
        <v>672</v>
      </c>
      <c r="F747" s="195" t="s">
        <v>673</v>
      </c>
      <c r="G747" s="195" t="s">
        <v>434</v>
      </c>
    </row>
    <row r="748" spans="1:7" hidden="1">
      <c r="A748" s="194" t="s">
        <v>675</v>
      </c>
      <c r="B748" s="195">
        <v>-93000000</v>
      </c>
      <c r="C748" s="195">
        <v>0</v>
      </c>
      <c r="D748" s="196" t="s">
        <v>437</v>
      </c>
      <c r="E748" s="196" t="s">
        <v>672</v>
      </c>
      <c r="F748" s="195" t="s">
        <v>673</v>
      </c>
      <c r="G748" s="195" t="s">
        <v>434</v>
      </c>
    </row>
    <row r="749" spans="1:7" hidden="1">
      <c r="A749" s="194" t="s">
        <v>676</v>
      </c>
      <c r="B749" s="195">
        <v>-130200000</v>
      </c>
      <c r="C749" s="195">
        <v>0</v>
      </c>
      <c r="D749" s="196" t="s">
        <v>437</v>
      </c>
      <c r="E749" s="196" t="s">
        <v>672</v>
      </c>
      <c r="F749" s="195" t="s">
        <v>673</v>
      </c>
      <c r="G749" s="195" t="s">
        <v>434</v>
      </c>
    </row>
    <row r="750" spans="1:7">
      <c r="A750" s="194" t="s">
        <v>364</v>
      </c>
      <c r="B750" s="195">
        <v>25735</v>
      </c>
      <c r="C750" s="195">
        <v>0</v>
      </c>
      <c r="D750" s="196" t="s">
        <v>282</v>
      </c>
      <c r="E750" s="196" t="s">
        <v>447</v>
      </c>
      <c r="F750" s="195" t="s">
        <v>394</v>
      </c>
      <c r="G750" s="195" t="s">
        <v>434</v>
      </c>
    </row>
    <row r="751" spans="1:7">
      <c r="A751" s="194" t="s">
        <v>364</v>
      </c>
      <c r="B751" s="195">
        <v>-19191</v>
      </c>
      <c r="C751" s="195">
        <v>0</v>
      </c>
      <c r="D751" s="196" t="s">
        <v>282</v>
      </c>
      <c r="E751" s="196" t="s">
        <v>447</v>
      </c>
      <c r="F751" s="195" t="s">
        <v>397</v>
      </c>
      <c r="G751" s="195" t="s">
        <v>434</v>
      </c>
    </row>
    <row r="752" spans="1:7">
      <c r="A752" s="194" t="s">
        <v>364</v>
      </c>
      <c r="B752" s="195">
        <v>-6544</v>
      </c>
      <c r="C752" s="195">
        <v>0</v>
      </c>
      <c r="D752" s="196" t="s">
        <v>282</v>
      </c>
      <c r="E752" s="196" t="s">
        <v>447</v>
      </c>
      <c r="F752" s="195" t="s">
        <v>393</v>
      </c>
      <c r="G752" s="195" t="s">
        <v>434</v>
      </c>
    </row>
    <row r="753" spans="1:7" hidden="1">
      <c r="A753" s="194" t="s">
        <v>87</v>
      </c>
      <c r="B753" s="195">
        <v>1206</v>
      </c>
      <c r="C753" s="195">
        <v>0</v>
      </c>
      <c r="D753" s="196" t="s">
        <v>283</v>
      </c>
      <c r="E753" s="196" t="s">
        <v>317</v>
      </c>
      <c r="F753" s="195" t="s">
        <v>394</v>
      </c>
      <c r="G753" s="195" t="s">
        <v>434</v>
      </c>
    </row>
    <row r="754" spans="1:7" hidden="1">
      <c r="A754" s="194" t="s">
        <v>87</v>
      </c>
      <c r="B754" s="195">
        <v>-1206</v>
      </c>
      <c r="C754" s="195">
        <v>0</v>
      </c>
      <c r="D754" s="196" t="s">
        <v>283</v>
      </c>
      <c r="E754" s="196" t="s">
        <v>317</v>
      </c>
      <c r="F754" s="195" t="s">
        <v>441</v>
      </c>
      <c r="G754" s="195" t="s">
        <v>434</v>
      </c>
    </row>
    <row r="755" spans="1:7">
      <c r="A755" s="194" t="s">
        <v>87</v>
      </c>
      <c r="B755" s="195">
        <v>7260</v>
      </c>
      <c r="C755" s="195">
        <v>0</v>
      </c>
      <c r="D755" s="196" t="s">
        <v>282</v>
      </c>
      <c r="E755" s="196" t="s">
        <v>317</v>
      </c>
      <c r="F755" s="195" t="s">
        <v>394</v>
      </c>
      <c r="G755" s="195" t="s">
        <v>434</v>
      </c>
    </row>
    <row r="756" spans="1:7">
      <c r="A756" s="194" t="s">
        <v>87</v>
      </c>
      <c r="B756" s="195">
        <v>-2970</v>
      </c>
      <c r="C756" s="195">
        <v>0</v>
      </c>
      <c r="D756" s="196" t="s">
        <v>282</v>
      </c>
      <c r="E756" s="196" t="s">
        <v>317</v>
      </c>
      <c r="F756" s="195" t="s">
        <v>393</v>
      </c>
      <c r="G756" s="195" t="s">
        <v>434</v>
      </c>
    </row>
    <row r="757" spans="1:7">
      <c r="A757" s="194" t="s">
        <v>87</v>
      </c>
      <c r="B757" s="195">
        <v>-656</v>
      </c>
      <c r="C757" s="195">
        <v>0</v>
      </c>
      <c r="D757" s="196" t="s">
        <v>282</v>
      </c>
      <c r="E757" s="196" t="s">
        <v>317</v>
      </c>
      <c r="F757" s="195" t="s">
        <v>413</v>
      </c>
      <c r="G757" s="195" t="s">
        <v>434</v>
      </c>
    </row>
    <row r="758" spans="1:7">
      <c r="A758" s="194" t="s">
        <v>87</v>
      </c>
      <c r="B758" s="195">
        <v>-4840</v>
      </c>
      <c r="C758" s="195">
        <v>0</v>
      </c>
      <c r="D758" s="196" t="s">
        <v>282</v>
      </c>
      <c r="E758" s="196" t="s">
        <v>317</v>
      </c>
      <c r="F758" s="195" t="s">
        <v>403</v>
      </c>
      <c r="G758" s="195" t="s">
        <v>434</v>
      </c>
    </row>
    <row r="759" spans="1:7">
      <c r="A759" s="194" t="s">
        <v>87</v>
      </c>
      <c r="B759" s="195">
        <v>1206</v>
      </c>
      <c r="C759" s="195">
        <v>0</v>
      </c>
      <c r="D759" s="196" t="s">
        <v>282</v>
      </c>
      <c r="E759" s="196" t="s">
        <v>317</v>
      </c>
      <c r="F759" s="195" t="s">
        <v>441</v>
      </c>
      <c r="G759" s="195" t="s">
        <v>434</v>
      </c>
    </row>
    <row r="760" spans="1:7" hidden="1">
      <c r="A760" s="194" t="s">
        <v>677</v>
      </c>
      <c r="B760" s="195">
        <v>1298800</v>
      </c>
      <c r="C760" s="195">
        <v>0</v>
      </c>
      <c r="D760" s="196" t="s">
        <v>440</v>
      </c>
      <c r="E760" s="196" t="s">
        <v>39</v>
      </c>
      <c r="F760" s="195" t="s">
        <v>394</v>
      </c>
      <c r="G760" s="195" t="s">
        <v>434</v>
      </c>
    </row>
    <row r="761" spans="1:7" hidden="1">
      <c r="A761" s="194" t="s">
        <v>677</v>
      </c>
      <c r="B761" s="195">
        <v>-109565</v>
      </c>
      <c r="C761" s="195">
        <v>0</v>
      </c>
      <c r="D761" s="196" t="s">
        <v>440</v>
      </c>
      <c r="E761" s="196" t="s">
        <v>39</v>
      </c>
      <c r="F761" s="195" t="s">
        <v>397</v>
      </c>
      <c r="G761" s="195" t="s">
        <v>434</v>
      </c>
    </row>
    <row r="762" spans="1:7" hidden="1">
      <c r="A762" s="194" t="s">
        <v>677</v>
      </c>
      <c r="B762" s="195">
        <v>121000</v>
      </c>
      <c r="C762" s="195">
        <v>0</v>
      </c>
      <c r="D762" s="196" t="s">
        <v>440</v>
      </c>
      <c r="E762" s="196" t="s">
        <v>39</v>
      </c>
      <c r="F762" s="195" t="s">
        <v>441</v>
      </c>
      <c r="G762" s="195" t="s">
        <v>434</v>
      </c>
    </row>
    <row r="763" spans="1:7" hidden="1">
      <c r="A763" s="194" t="s">
        <v>677</v>
      </c>
      <c r="B763" s="195">
        <v>-121000</v>
      </c>
      <c r="C763" s="195">
        <v>0</v>
      </c>
      <c r="D763" s="196" t="s">
        <v>437</v>
      </c>
      <c r="E763" s="196" t="s">
        <v>39</v>
      </c>
      <c r="F763" s="195" t="s">
        <v>441</v>
      </c>
      <c r="G763" s="195" t="s">
        <v>434</v>
      </c>
    </row>
    <row r="764" spans="1:7" hidden="1">
      <c r="A764" s="194" t="s">
        <v>677</v>
      </c>
      <c r="B764" s="195">
        <v>121000</v>
      </c>
      <c r="C764" s="195">
        <v>0</v>
      </c>
      <c r="D764" s="196" t="s">
        <v>437</v>
      </c>
      <c r="E764" s="196" t="s">
        <v>39</v>
      </c>
      <c r="F764" s="195" t="s">
        <v>402</v>
      </c>
      <c r="G764" s="195" t="s">
        <v>434</v>
      </c>
    </row>
    <row r="765" spans="1:7">
      <c r="A765" s="194" t="s">
        <v>678</v>
      </c>
      <c r="B765" s="195">
        <v>10764</v>
      </c>
      <c r="C765" s="195">
        <v>0</v>
      </c>
      <c r="D765" s="196" t="s">
        <v>282</v>
      </c>
      <c r="E765" s="196" t="s">
        <v>317</v>
      </c>
      <c r="F765" s="195" t="s">
        <v>445</v>
      </c>
      <c r="G765" s="195" t="s">
        <v>434</v>
      </c>
    </row>
    <row r="766" spans="1:7">
      <c r="A766" s="194" t="s">
        <v>678</v>
      </c>
      <c r="B766" s="195">
        <v>-10764</v>
      </c>
      <c r="C766" s="195">
        <v>0</v>
      </c>
      <c r="D766" s="196" t="s">
        <v>282</v>
      </c>
      <c r="E766" s="196" t="s">
        <v>317</v>
      </c>
      <c r="F766" s="195" t="s">
        <v>393</v>
      </c>
      <c r="G766" s="195" t="s">
        <v>434</v>
      </c>
    </row>
    <row r="767" spans="1:7">
      <c r="A767" s="194" t="s">
        <v>151</v>
      </c>
      <c r="B767" s="195">
        <v>-31258</v>
      </c>
      <c r="C767" s="195">
        <v>0</v>
      </c>
      <c r="D767" s="196" t="s">
        <v>282</v>
      </c>
      <c r="E767" s="196" t="s">
        <v>317</v>
      </c>
      <c r="F767" s="195" t="s">
        <v>394</v>
      </c>
      <c r="G767" s="195" t="s">
        <v>434</v>
      </c>
    </row>
    <row r="768" spans="1:7">
      <c r="A768" s="194" t="s">
        <v>151</v>
      </c>
      <c r="B768" s="195">
        <v>31258</v>
      </c>
      <c r="C768" s="195">
        <v>0</v>
      </c>
      <c r="D768" s="196" t="s">
        <v>282</v>
      </c>
      <c r="E768" s="196" t="s">
        <v>317</v>
      </c>
      <c r="F768" s="195" t="s">
        <v>411</v>
      </c>
      <c r="G768" s="195" t="s">
        <v>434</v>
      </c>
    </row>
    <row r="769" spans="1:7" hidden="1">
      <c r="A769" s="194" t="s">
        <v>679</v>
      </c>
      <c r="B769" s="195">
        <v>-26784</v>
      </c>
      <c r="C769" s="195">
        <v>0</v>
      </c>
      <c r="D769" s="196" t="s">
        <v>437</v>
      </c>
      <c r="E769" s="196" t="s">
        <v>320</v>
      </c>
      <c r="F769" s="195" t="s">
        <v>394</v>
      </c>
      <c r="G769" s="195" t="s">
        <v>434</v>
      </c>
    </row>
    <row r="770" spans="1:7" hidden="1">
      <c r="A770" s="194" t="s">
        <v>679</v>
      </c>
      <c r="B770" s="195">
        <v>26784</v>
      </c>
      <c r="C770" s="195">
        <v>0</v>
      </c>
      <c r="D770" s="196" t="s">
        <v>437</v>
      </c>
      <c r="E770" s="196" t="s">
        <v>320</v>
      </c>
      <c r="F770" s="195" t="s">
        <v>402</v>
      </c>
      <c r="G770" s="195" t="s">
        <v>434</v>
      </c>
    </row>
    <row r="771" spans="1:7" hidden="1">
      <c r="A771" s="194" t="s">
        <v>88</v>
      </c>
      <c r="B771" s="195">
        <v>46370</v>
      </c>
      <c r="C771" s="195">
        <v>0</v>
      </c>
      <c r="D771" s="196" t="s">
        <v>283</v>
      </c>
      <c r="E771" s="196" t="s">
        <v>320</v>
      </c>
      <c r="F771" s="195" t="s">
        <v>394</v>
      </c>
      <c r="G771" s="195" t="s">
        <v>434</v>
      </c>
    </row>
    <row r="772" spans="1:7" hidden="1">
      <c r="A772" s="194" t="s">
        <v>88</v>
      </c>
      <c r="B772" s="195">
        <v>-46370</v>
      </c>
      <c r="C772" s="195">
        <v>0</v>
      </c>
      <c r="D772" s="196" t="s">
        <v>283</v>
      </c>
      <c r="E772" s="196" t="s">
        <v>320</v>
      </c>
      <c r="F772" s="195" t="s">
        <v>441</v>
      </c>
      <c r="G772" s="195" t="s">
        <v>434</v>
      </c>
    </row>
    <row r="773" spans="1:7">
      <c r="A773" s="194" t="s">
        <v>88</v>
      </c>
      <c r="B773" s="195">
        <v>-57619</v>
      </c>
      <c r="C773" s="195">
        <v>0</v>
      </c>
      <c r="D773" s="196" t="s">
        <v>282</v>
      </c>
      <c r="E773" s="196" t="s">
        <v>320</v>
      </c>
      <c r="F773" s="195" t="s">
        <v>394</v>
      </c>
      <c r="G773" s="195" t="s">
        <v>434</v>
      </c>
    </row>
    <row r="774" spans="1:7">
      <c r="A774" s="194" t="s">
        <v>88</v>
      </c>
      <c r="B774" s="195">
        <v>2675</v>
      </c>
      <c r="C774" s="195">
        <v>0</v>
      </c>
      <c r="D774" s="196" t="s">
        <v>282</v>
      </c>
      <c r="E774" s="196" t="s">
        <v>320</v>
      </c>
      <c r="F774" s="195" t="s">
        <v>445</v>
      </c>
      <c r="G774" s="195" t="s">
        <v>434</v>
      </c>
    </row>
    <row r="775" spans="1:7">
      <c r="A775" s="194" t="s">
        <v>88</v>
      </c>
      <c r="B775" s="195">
        <v>104906</v>
      </c>
      <c r="C775" s="195">
        <v>0</v>
      </c>
      <c r="D775" s="196" t="s">
        <v>282</v>
      </c>
      <c r="E775" s="196" t="s">
        <v>320</v>
      </c>
      <c r="F775" s="195" t="s">
        <v>408</v>
      </c>
      <c r="G775" s="195" t="s">
        <v>434</v>
      </c>
    </row>
    <row r="776" spans="1:7">
      <c r="A776" s="194" t="s">
        <v>88</v>
      </c>
      <c r="B776" s="195">
        <v>-76938</v>
      </c>
      <c r="C776" s="195">
        <v>0</v>
      </c>
      <c r="D776" s="196" t="s">
        <v>282</v>
      </c>
      <c r="E776" s="196" t="s">
        <v>320</v>
      </c>
      <c r="F776" s="195" t="s">
        <v>393</v>
      </c>
      <c r="G776" s="195" t="s">
        <v>434</v>
      </c>
    </row>
    <row r="777" spans="1:7">
      <c r="A777" s="194" t="s">
        <v>88</v>
      </c>
      <c r="B777" s="195">
        <v>-27788</v>
      </c>
      <c r="C777" s="195">
        <v>0</v>
      </c>
      <c r="D777" s="196" t="s">
        <v>282</v>
      </c>
      <c r="E777" s="196" t="s">
        <v>320</v>
      </c>
      <c r="F777" s="195" t="s">
        <v>403</v>
      </c>
      <c r="G777" s="195" t="s">
        <v>434</v>
      </c>
    </row>
    <row r="778" spans="1:7">
      <c r="A778" s="194" t="s">
        <v>88</v>
      </c>
      <c r="B778" s="195">
        <v>46370</v>
      </c>
      <c r="C778" s="195">
        <v>0</v>
      </c>
      <c r="D778" s="196" t="s">
        <v>282</v>
      </c>
      <c r="E778" s="196" t="s">
        <v>320</v>
      </c>
      <c r="F778" s="195" t="s">
        <v>441</v>
      </c>
      <c r="G778" s="195" t="s">
        <v>434</v>
      </c>
    </row>
    <row r="779" spans="1:7">
      <c r="A779" s="194" t="s">
        <v>88</v>
      </c>
      <c r="B779" s="195">
        <v>8394</v>
      </c>
      <c r="C779" s="195">
        <v>0</v>
      </c>
      <c r="D779" s="196" t="s">
        <v>282</v>
      </c>
      <c r="E779" s="196" t="s">
        <v>320</v>
      </c>
      <c r="F779" s="195" t="s">
        <v>411</v>
      </c>
      <c r="G779" s="195" t="s">
        <v>434</v>
      </c>
    </row>
    <row r="780" spans="1:7" hidden="1">
      <c r="A780" s="194" t="s">
        <v>88</v>
      </c>
      <c r="B780" s="195">
        <v>14816</v>
      </c>
      <c r="C780" s="195">
        <v>0</v>
      </c>
      <c r="D780" s="196" t="s">
        <v>442</v>
      </c>
      <c r="E780" s="196" t="s">
        <v>320</v>
      </c>
      <c r="F780" s="195" t="s">
        <v>394</v>
      </c>
      <c r="G780" s="195" t="s">
        <v>434</v>
      </c>
    </row>
    <row r="781" spans="1:7">
      <c r="A781" s="194" t="s">
        <v>680</v>
      </c>
      <c r="B781" s="195">
        <v>185</v>
      </c>
      <c r="C781" s="195">
        <v>0</v>
      </c>
      <c r="D781" s="196" t="s">
        <v>282</v>
      </c>
      <c r="E781" s="196" t="s">
        <v>324</v>
      </c>
      <c r="F781" s="195" t="s">
        <v>408</v>
      </c>
      <c r="G781" s="195" t="s">
        <v>434</v>
      </c>
    </row>
    <row r="782" spans="1:7">
      <c r="A782" s="194" t="s">
        <v>680</v>
      </c>
      <c r="B782" s="195">
        <v>-185</v>
      </c>
      <c r="C782" s="195">
        <v>0</v>
      </c>
      <c r="D782" s="196" t="s">
        <v>282</v>
      </c>
      <c r="E782" s="196" t="s">
        <v>324</v>
      </c>
      <c r="F782" s="195" t="s">
        <v>393</v>
      </c>
      <c r="G782" s="195" t="s">
        <v>434</v>
      </c>
    </row>
    <row r="783" spans="1:7" hidden="1">
      <c r="A783" s="194" t="s">
        <v>681</v>
      </c>
      <c r="B783" s="195">
        <v>-463</v>
      </c>
      <c r="C783" s="195">
        <v>0</v>
      </c>
      <c r="D783" s="196" t="s">
        <v>283</v>
      </c>
      <c r="E783" s="196" t="s">
        <v>324</v>
      </c>
      <c r="F783" s="195" t="s">
        <v>394</v>
      </c>
      <c r="G783" s="195" t="s">
        <v>434</v>
      </c>
    </row>
    <row r="784" spans="1:7" hidden="1">
      <c r="A784" s="194" t="s">
        <v>681</v>
      </c>
      <c r="B784" s="195">
        <v>463</v>
      </c>
      <c r="C784" s="195">
        <v>0</v>
      </c>
      <c r="D784" s="196" t="s">
        <v>283</v>
      </c>
      <c r="E784" s="196" t="s">
        <v>324</v>
      </c>
      <c r="F784" s="195" t="s">
        <v>441</v>
      </c>
      <c r="G784" s="195" t="s">
        <v>434</v>
      </c>
    </row>
    <row r="785" spans="1:7">
      <c r="A785" s="194" t="s">
        <v>681</v>
      </c>
      <c r="B785" s="195">
        <v>1156</v>
      </c>
      <c r="C785" s="195">
        <v>0</v>
      </c>
      <c r="D785" s="196" t="s">
        <v>282</v>
      </c>
      <c r="E785" s="196" t="s">
        <v>324</v>
      </c>
      <c r="F785" s="195" t="s">
        <v>394</v>
      </c>
      <c r="G785" s="195" t="s">
        <v>434</v>
      </c>
    </row>
    <row r="786" spans="1:7">
      <c r="A786" s="194" t="s">
        <v>681</v>
      </c>
      <c r="B786" s="195">
        <v>-1202</v>
      </c>
      <c r="C786" s="195">
        <v>0</v>
      </c>
      <c r="D786" s="196" t="s">
        <v>282</v>
      </c>
      <c r="E786" s="196" t="s">
        <v>324</v>
      </c>
      <c r="F786" s="195" t="s">
        <v>408</v>
      </c>
      <c r="G786" s="195" t="s">
        <v>434</v>
      </c>
    </row>
    <row r="787" spans="1:7">
      <c r="A787" s="194" t="s">
        <v>681</v>
      </c>
      <c r="B787" s="195">
        <v>509</v>
      </c>
      <c r="C787" s="195">
        <v>0</v>
      </c>
      <c r="D787" s="196" t="s">
        <v>282</v>
      </c>
      <c r="E787" s="196" t="s">
        <v>324</v>
      </c>
      <c r="F787" s="195" t="s">
        <v>393</v>
      </c>
      <c r="G787" s="195" t="s">
        <v>434</v>
      </c>
    </row>
    <row r="788" spans="1:7">
      <c r="A788" s="194" t="s">
        <v>681</v>
      </c>
      <c r="B788" s="195">
        <v>-463</v>
      </c>
      <c r="C788" s="195">
        <v>0</v>
      </c>
      <c r="D788" s="196" t="s">
        <v>282</v>
      </c>
      <c r="E788" s="196" t="s">
        <v>324</v>
      </c>
      <c r="F788" s="195" t="s">
        <v>441</v>
      </c>
      <c r="G788" s="195" t="s">
        <v>434</v>
      </c>
    </row>
    <row r="789" spans="1:7" hidden="1">
      <c r="A789" s="194" t="s">
        <v>682</v>
      </c>
      <c r="B789" s="195">
        <v>1390</v>
      </c>
      <c r="C789" s="195">
        <v>0</v>
      </c>
      <c r="D789" s="196" t="s">
        <v>437</v>
      </c>
      <c r="E789" s="196" t="s">
        <v>324</v>
      </c>
      <c r="F789" s="195" t="s">
        <v>394</v>
      </c>
      <c r="G789" s="195" t="s">
        <v>434</v>
      </c>
    </row>
    <row r="790" spans="1:7" hidden="1">
      <c r="A790" s="194" t="s">
        <v>4</v>
      </c>
      <c r="B790" s="195">
        <v>-652760</v>
      </c>
      <c r="C790" s="195">
        <v>0</v>
      </c>
      <c r="D790" s="196" t="s">
        <v>437</v>
      </c>
      <c r="E790" s="196" t="s">
        <v>320</v>
      </c>
      <c r="F790" s="195" t="s">
        <v>394</v>
      </c>
      <c r="G790" s="195" t="s">
        <v>434</v>
      </c>
    </row>
    <row r="791" spans="1:7" hidden="1">
      <c r="A791" s="194" t="s">
        <v>4</v>
      </c>
      <c r="B791" s="195">
        <v>652760</v>
      </c>
      <c r="C791" s="195">
        <v>0</v>
      </c>
      <c r="D791" s="196" t="s">
        <v>437</v>
      </c>
      <c r="E791" s="196" t="s">
        <v>320</v>
      </c>
      <c r="F791" s="195" t="s">
        <v>402</v>
      </c>
      <c r="G791" s="195" t="s">
        <v>434</v>
      </c>
    </row>
    <row r="792" spans="1:7" hidden="1">
      <c r="A792" s="194" t="s">
        <v>4</v>
      </c>
      <c r="B792" s="195">
        <v>-9804</v>
      </c>
      <c r="C792" s="195">
        <v>0</v>
      </c>
      <c r="D792" s="196" t="s">
        <v>442</v>
      </c>
      <c r="E792" s="196" t="s">
        <v>320</v>
      </c>
      <c r="F792" s="195" t="s">
        <v>394</v>
      </c>
      <c r="G792" s="195" t="s">
        <v>434</v>
      </c>
    </row>
    <row r="793" spans="1:7" hidden="1">
      <c r="A793" s="194" t="s">
        <v>142</v>
      </c>
      <c r="B793" s="195">
        <v>-55757</v>
      </c>
      <c r="C793" s="195">
        <v>0</v>
      </c>
      <c r="D793" s="196" t="s">
        <v>283</v>
      </c>
      <c r="E793" s="196" t="s">
        <v>320</v>
      </c>
      <c r="F793" s="195" t="s">
        <v>394</v>
      </c>
      <c r="G793" s="195" t="s">
        <v>434</v>
      </c>
    </row>
    <row r="794" spans="1:7" hidden="1">
      <c r="A794" s="194" t="s">
        <v>142</v>
      </c>
      <c r="B794" s="195">
        <v>55757</v>
      </c>
      <c r="C794" s="195">
        <v>0</v>
      </c>
      <c r="D794" s="196" t="s">
        <v>283</v>
      </c>
      <c r="E794" s="196" t="s">
        <v>320</v>
      </c>
      <c r="F794" s="195" t="s">
        <v>441</v>
      </c>
      <c r="G794" s="195" t="s">
        <v>434</v>
      </c>
    </row>
    <row r="795" spans="1:7">
      <c r="A795" s="194" t="s">
        <v>142</v>
      </c>
      <c r="B795" s="195">
        <v>117685</v>
      </c>
      <c r="C795" s="195">
        <v>0</v>
      </c>
      <c r="D795" s="196" t="s">
        <v>282</v>
      </c>
      <c r="E795" s="196" t="s">
        <v>320</v>
      </c>
      <c r="F795" s="195" t="s">
        <v>394</v>
      </c>
      <c r="G795" s="195" t="s">
        <v>434</v>
      </c>
    </row>
    <row r="796" spans="1:7">
      <c r="A796" s="194" t="s">
        <v>142</v>
      </c>
      <c r="B796" s="195">
        <v>-6943</v>
      </c>
      <c r="C796" s="195">
        <v>0</v>
      </c>
      <c r="D796" s="196" t="s">
        <v>282</v>
      </c>
      <c r="E796" s="196" t="s">
        <v>320</v>
      </c>
      <c r="F796" s="195" t="s">
        <v>393</v>
      </c>
      <c r="G796" s="195" t="s">
        <v>434</v>
      </c>
    </row>
    <row r="797" spans="1:7">
      <c r="A797" s="194" t="s">
        <v>142</v>
      </c>
      <c r="B797" s="195">
        <v>-54985</v>
      </c>
      <c r="C797" s="195">
        <v>0</v>
      </c>
      <c r="D797" s="196" t="s">
        <v>282</v>
      </c>
      <c r="E797" s="196" t="s">
        <v>320</v>
      </c>
      <c r="F797" s="195" t="s">
        <v>403</v>
      </c>
      <c r="G797" s="195" t="s">
        <v>434</v>
      </c>
    </row>
    <row r="798" spans="1:7">
      <c r="A798" s="194" t="s">
        <v>142</v>
      </c>
      <c r="B798" s="195">
        <v>-55757</v>
      </c>
      <c r="C798" s="195">
        <v>0</v>
      </c>
      <c r="D798" s="196" t="s">
        <v>282</v>
      </c>
      <c r="E798" s="196" t="s">
        <v>320</v>
      </c>
      <c r="F798" s="195" t="s">
        <v>441</v>
      </c>
      <c r="G798" s="195" t="s">
        <v>434</v>
      </c>
    </row>
    <row r="799" spans="1:7" hidden="1">
      <c r="A799" s="194" t="s">
        <v>683</v>
      </c>
      <c r="B799" s="195">
        <v>-21251</v>
      </c>
      <c r="C799" s="195">
        <v>0</v>
      </c>
      <c r="D799" s="196" t="s">
        <v>440</v>
      </c>
      <c r="E799" s="196" t="s">
        <v>320</v>
      </c>
      <c r="F799" s="195" t="s">
        <v>394</v>
      </c>
      <c r="G799" s="195" t="s">
        <v>434</v>
      </c>
    </row>
    <row r="800" spans="1:7" hidden="1">
      <c r="A800" s="194" t="s">
        <v>683</v>
      </c>
      <c r="B800" s="195">
        <v>15000</v>
      </c>
      <c r="C800" s="195">
        <v>0</v>
      </c>
      <c r="D800" s="196" t="s">
        <v>440</v>
      </c>
      <c r="E800" s="196" t="s">
        <v>320</v>
      </c>
      <c r="F800" s="195" t="s">
        <v>441</v>
      </c>
      <c r="G800" s="195" t="s">
        <v>434</v>
      </c>
    </row>
    <row r="801" spans="1:7" hidden="1">
      <c r="A801" s="194" t="s">
        <v>683</v>
      </c>
      <c r="B801" s="195">
        <v>15000</v>
      </c>
      <c r="C801" s="195">
        <v>0</v>
      </c>
      <c r="D801" s="196" t="s">
        <v>437</v>
      </c>
      <c r="E801" s="196" t="s">
        <v>320</v>
      </c>
      <c r="F801" s="195" t="s">
        <v>394</v>
      </c>
      <c r="G801" s="195" t="s">
        <v>434</v>
      </c>
    </row>
    <row r="802" spans="1:7" hidden="1">
      <c r="A802" s="194" t="s">
        <v>683</v>
      </c>
      <c r="B802" s="195">
        <v>-15000</v>
      </c>
      <c r="C802" s="195">
        <v>0</v>
      </c>
      <c r="D802" s="196" t="s">
        <v>437</v>
      </c>
      <c r="E802" s="196" t="s">
        <v>320</v>
      </c>
      <c r="F802" s="195" t="s">
        <v>441</v>
      </c>
      <c r="G802" s="195" t="s">
        <v>434</v>
      </c>
    </row>
    <row r="803" spans="1:7" hidden="1">
      <c r="A803" s="194" t="s">
        <v>683</v>
      </c>
      <c r="B803" s="195">
        <v>-5177</v>
      </c>
      <c r="C803" s="195">
        <v>0</v>
      </c>
      <c r="D803" s="196" t="s">
        <v>442</v>
      </c>
      <c r="E803" s="196" t="s">
        <v>320</v>
      </c>
      <c r="F803" s="195" t="s">
        <v>394</v>
      </c>
      <c r="G803" s="195" t="s">
        <v>434</v>
      </c>
    </row>
    <row r="804" spans="1:7" hidden="1">
      <c r="A804" s="194" t="s">
        <v>683</v>
      </c>
      <c r="B804" s="195">
        <v>-4731</v>
      </c>
      <c r="C804" s="195">
        <v>0</v>
      </c>
      <c r="D804" s="196" t="s">
        <v>545</v>
      </c>
      <c r="E804" s="196" t="s">
        <v>320</v>
      </c>
      <c r="F804" s="195" t="s">
        <v>394</v>
      </c>
      <c r="G804" s="195" t="s">
        <v>434</v>
      </c>
    </row>
    <row r="805" spans="1:7" hidden="1">
      <c r="A805" s="194" t="s">
        <v>684</v>
      </c>
      <c r="B805" s="195">
        <v>-627</v>
      </c>
      <c r="C805" s="195">
        <v>0</v>
      </c>
      <c r="D805" s="196" t="s">
        <v>440</v>
      </c>
      <c r="E805" s="196" t="s">
        <v>324</v>
      </c>
      <c r="F805" s="195" t="s">
        <v>394</v>
      </c>
      <c r="G805" s="195" t="s">
        <v>434</v>
      </c>
    </row>
    <row r="806" spans="1:7" hidden="1">
      <c r="A806" s="194" t="s">
        <v>685</v>
      </c>
      <c r="B806" s="195">
        <v>627</v>
      </c>
      <c r="C806" s="195">
        <v>0</v>
      </c>
      <c r="D806" s="196" t="s">
        <v>440</v>
      </c>
      <c r="E806" s="196" t="s">
        <v>324</v>
      </c>
      <c r="F806" s="195" t="s">
        <v>394</v>
      </c>
      <c r="G806" s="195" t="s">
        <v>434</v>
      </c>
    </row>
    <row r="807" spans="1:7" hidden="1">
      <c r="A807" s="194" t="s">
        <v>686</v>
      </c>
      <c r="B807" s="195">
        <v>627</v>
      </c>
      <c r="C807" s="195">
        <v>0</v>
      </c>
      <c r="D807" s="196" t="s">
        <v>440</v>
      </c>
      <c r="E807" s="196" t="s">
        <v>324</v>
      </c>
      <c r="F807" s="195" t="s">
        <v>394</v>
      </c>
      <c r="G807" s="195" t="s">
        <v>434</v>
      </c>
    </row>
    <row r="808" spans="1:7" hidden="1">
      <c r="A808" s="194" t="s">
        <v>402</v>
      </c>
      <c r="B808" s="195">
        <v>408683</v>
      </c>
      <c r="C808" s="195">
        <v>0</v>
      </c>
      <c r="D808" s="196" t="s">
        <v>440</v>
      </c>
      <c r="E808" s="196" t="s">
        <v>317</v>
      </c>
      <c r="F808" s="195" t="s">
        <v>394</v>
      </c>
      <c r="G808" s="195" t="s">
        <v>434</v>
      </c>
    </row>
    <row r="809" spans="1:7" hidden="1">
      <c r="A809" s="194" t="s">
        <v>402</v>
      </c>
      <c r="B809" s="195">
        <v>-94370</v>
      </c>
      <c r="C809" s="195">
        <v>0</v>
      </c>
      <c r="D809" s="196" t="s">
        <v>440</v>
      </c>
      <c r="E809" s="196" t="s">
        <v>317</v>
      </c>
      <c r="F809" s="195" t="s">
        <v>673</v>
      </c>
      <c r="G809" s="195" t="s">
        <v>434</v>
      </c>
    </row>
    <row r="810" spans="1:7" hidden="1">
      <c r="A810" s="194" t="s">
        <v>402</v>
      </c>
      <c r="B810" s="195">
        <v>-126440</v>
      </c>
      <c r="C810" s="195">
        <v>0</v>
      </c>
      <c r="D810" s="196" t="s">
        <v>440</v>
      </c>
      <c r="E810" s="196" t="s">
        <v>317</v>
      </c>
      <c r="F810" s="195" t="s">
        <v>397</v>
      </c>
      <c r="G810" s="195" t="s">
        <v>434</v>
      </c>
    </row>
    <row r="811" spans="1:7" hidden="1">
      <c r="A811" s="194" t="s">
        <v>402</v>
      </c>
      <c r="B811" s="195">
        <v>-48418</v>
      </c>
      <c r="C811" s="195">
        <v>0</v>
      </c>
      <c r="D811" s="196" t="s">
        <v>440</v>
      </c>
      <c r="E811" s="196" t="s">
        <v>317</v>
      </c>
      <c r="F811" s="195" t="s">
        <v>393</v>
      </c>
      <c r="G811" s="195" t="s">
        <v>434</v>
      </c>
    </row>
    <row r="812" spans="1:7" hidden="1">
      <c r="A812" s="194" t="s">
        <v>402</v>
      </c>
      <c r="B812" s="195">
        <v>-94260</v>
      </c>
      <c r="C812" s="195">
        <v>0</v>
      </c>
      <c r="D812" s="196" t="s">
        <v>440</v>
      </c>
      <c r="E812" s="196" t="s">
        <v>317</v>
      </c>
      <c r="F812" s="195" t="s">
        <v>410</v>
      </c>
      <c r="G812" s="195" t="s">
        <v>434</v>
      </c>
    </row>
    <row r="813" spans="1:7" hidden="1">
      <c r="A813" s="194" t="s">
        <v>402</v>
      </c>
      <c r="B813" s="195">
        <v>78422</v>
      </c>
      <c r="C813" s="195">
        <v>0</v>
      </c>
      <c r="D813" s="196" t="s">
        <v>440</v>
      </c>
      <c r="E813" s="196" t="s">
        <v>317</v>
      </c>
      <c r="F813" s="195" t="s">
        <v>407</v>
      </c>
      <c r="G813" s="195" t="s">
        <v>434</v>
      </c>
    </row>
    <row r="814" spans="1:7" hidden="1">
      <c r="A814" s="194" t="s">
        <v>402</v>
      </c>
      <c r="B814" s="195">
        <v>-194600</v>
      </c>
      <c r="C814" s="195">
        <v>0</v>
      </c>
      <c r="D814" s="196" t="s">
        <v>440</v>
      </c>
      <c r="E814" s="196" t="s">
        <v>317</v>
      </c>
      <c r="F814" s="195" t="s">
        <v>441</v>
      </c>
      <c r="G814" s="195" t="s">
        <v>434</v>
      </c>
    </row>
    <row r="815" spans="1:7" hidden="1">
      <c r="A815" s="194" t="s">
        <v>402</v>
      </c>
      <c r="B815" s="195">
        <v>-110224</v>
      </c>
      <c r="C815" s="195">
        <v>0</v>
      </c>
      <c r="D815" s="196" t="s">
        <v>440</v>
      </c>
      <c r="E815" s="196" t="s">
        <v>317</v>
      </c>
      <c r="F815" s="195" t="s">
        <v>411</v>
      </c>
      <c r="G815" s="195" t="s">
        <v>434</v>
      </c>
    </row>
    <row r="816" spans="1:7" hidden="1">
      <c r="A816" s="194" t="s">
        <v>402</v>
      </c>
      <c r="B816" s="195">
        <v>459400</v>
      </c>
      <c r="C816" s="195">
        <v>0</v>
      </c>
      <c r="D816" s="196" t="s">
        <v>440</v>
      </c>
      <c r="E816" s="196" t="s">
        <v>317</v>
      </c>
      <c r="F816" s="195" t="s">
        <v>402</v>
      </c>
      <c r="G816" s="195" t="s">
        <v>434</v>
      </c>
    </row>
    <row r="817" spans="1:7" hidden="1">
      <c r="A817" s="194" t="s">
        <v>402</v>
      </c>
      <c r="B817" s="195">
        <v>-96600</v>
      </c>
      <c r="C817" s="195">
        <v>0</v>
      </c>
      <c r="D817" s="196" t="s">
        <v>437</v>
      </c>
      <c r="E817" s="196" t="s">
        <v>317</v>
      </c>
      <c r="F817" s="195" t="s">
        <v>394</v>
      </c>
      <c r="G817" s="195" t="s">
        <v>434</v>
      </c>
    </row>
    <row r="818" spans="1:7" hidden="1">
      <c r="A818" s="194" t="s">
        <v>402</v>
      </c>
      <c r="B818" s="195">
        <v>96600</v>
      </c>
      <c r="C818" s="195">
        <v>0</v>
      </c>
      <c r="D818" s="196" t="s">
        <v>437</v>
      </c>
      <c r="E818" s="196" t="s">
        <v>317</v>
      </c>
      <c r="F818" s="195" t="s">
        <v>441</v>
      </c>
      <c r="G818" s="195" t="s">
        <v>434</v>
      </c>
    </row>
    <row r="819" spans="1:7" hidden="1">
      <c r="A819" s="194" t="s">
        <v>402</v>
      </c>
      <c r="B819" s="195">
        <v>-31562</v>
      </c>
      <c r="C819" s="195">
        <v>0</v>
      </c>
      <c r="D819" s="196" t="s">
        <v>442</v>
      </c>
      <c r="E819" s="196" t="s">
        <v>317</v>
      </c>
      <c r="F819" s="195" t="s">
        <v>394</v>
      </c>
      <c r="G819" s="195" t="s">
        <v>434</v>
      </c>
    </row>
    <row r="820" spans="1:7" hidden="1">
      <c r="A820" s="194" t="s">
        <v>402</v>
      </c>
      <c r="B820" s="195">
        <v>-34008</v>
      </c>
      <c r="C820" s="195">
        <v>0</v>
      </c>
      <c r="D820" s="196" t="s">
        <v>442</v>
      </c>
      <c r="E820" s="196" t="s">
        <v>317</v>
      </c>
      <c r="F820" s="195" t="s">
        <v>397</v>
      </c>
      <c r="G820" s="195" t="s">
        <v>434</v>
      </c>
    </row>
    <row r="821" spans="1:7" hidden="1">
      <c r="A821" s="194" t="s">
        <v>402</v>
      </c>
      <c r="B821" s="195">
        <v>98000</v>
      </c>
      <c r="C821" s="195">
        <v>0</v>
      </c>
      <c r="D821" s="196" t="s">
        <v>442</v>
      </c>
      <c r="E821" s="196" t="s">
        <v>317</v>
      </c>
      <c r="F821" s="195" t="s">
        <v>441</v>
      </c>
      <c r="G821" s="195" t="s">
        <v>434</v>
      </c>
    </row>
    <row r="822" spans="1:7" hidden="1">
      <c r="A822" s="194" t="s">
        <v>402</v>
      </c>
      <c r="B822" s="195">
        <v>38525</v>
      </c>
      <c r="C822" s="195">
        <v>0</v>
      </c>
      <c r="D822" s="196" t="s">
        <v>545</v>
      </c>
      <c r="E822" s="196" t="s">
        <v>317</v>
      </c>
      <c r="F822" s="195" t="s">
        <v>394</v>
      </c>
      <c r="G822" s="195" t="s">
        <v>434</v>
      </c>
    </row>
    <row r="823" spans="1:7" hidden="1">
      <c r="A823" s="194" t="s">
        <v>402</v>
      </c>
      <c r="B823" s="195">
        <v>-985</v>
      </c>
      <c r="C823" s="195">
        <v>0</v>
      </c>
      <c r="D823" s="196" t="s">
        <v>545</v>
      </c>
      <c r="E823" s="196" t="s">
        <v>317</v>
      </c>
      <c r="F823" s="195" t="s">
        <v>397</v>
      </c>
      <c r="G823" s="195" t="s">
        <v>434</v>
      </c>
    </row>
    <row r="824" spans="1:7" hidden="1">
      <c r="A824" s="194" t="s">
        <v>402</v>
      </c>
      <c r="B824" s="195">
        <v>-37540</v>
      </c>
      <c r="C824" s="195">
        <v>0</v>
      </c>
      <c r="D824" s="196" t="s">
        <v>545</v>
      </c>
      <c r="E824" s="196" t="s">
        <v>317</v>
      </c>
      <c r="F824" s="195" t="s">
        <v>411</v>
      </c>
      <c r="G824" s="195" t="s">
        <v>434</v>
      </c>
    </row>
    <row r="825" spans="1:7" hidden="1">
      <c r="A825" s="194" t="s">
        <v>402</v>
      </c>
      <c r="B825" s="195">
        <v>-186800</v>
      </c>
      <c r="C825" s="195">
        <v>0</v>
      </c>
      <c r="D825" s="196" t="s">
        <v>474</v>
      </c>
      <c r="E825" s="196" t="s">
        <v>317</v>
      </c>
      <c r="F825" s="195" t="s">
        <v>394</v>
      </c>
      <c r="G825" s="195" t="s">
        <v>434</v>
      </c>
    </row>
    <row r="826" spans="1:7" hidden="1">
      <c r="A826" s="194" t="s">
        <v>401</v>
      </c>
      <c r="B826" s="195">
        <v>-11942</v>
      </c>
      <c r="C826" s="195">
        <v>0</v>
      </c>
      <c r="D826" s="196" t="s">
        <v>442</v>
      </c>
      <c r="E826" s="196" t="s">
        <v>320</v>
      </c>
      <c r="F826" s="195" t="s">
        <v>394</v>
      </c>
      <c r="G826" s="195" t="s">
        <v>434</v>
      </c>
    </row>
    <row r="827" spans="1:7">
      <c r="A827" s="194" t="s">
        <v>365</v>
      </c>
      <c r="B827" s="195">
        <v>91590</v>
      </c>
      <c r="C827" s="195">
        <v>0</v>
      </c>
      <c r="D827" s="196" t="s">
        <v>282</v>
      </c>
      <c r="E827" s="196" t="s">
        <v>687</v>
      </c>
      <c r="F827" s="195" t="s">
        <v>394</v>
      </c>
      <c r="G827" s="195" t="s">
        <v>434</v>
      </c>
    </row>
    <row r="828" spans="1:7">
      <c r="A828" s="194" t="s">
        <v>365</v>
      </c>
      <c r="B828" s="195">
        <v>-91590</v>
      </c>
      <c r="C828" s="195">
        <v>0</v>
      </c>
      <c r="D828" s="196" t="s">
        <v>282</v>
      </c>
      <c r="E828" s="196" t="s">
        <v>687</v>
      </c>
      <c r="F828" s="195" t="s">
        <v>393</v>
      </c>
      <c r="G828" s="195" t="s">
        <v>434</v>
      </c>
    </row>
    <row r="829" spans="1:7" hidden="1">
      <c r="A829" s="194" t="s">
        <v>433</v>
      </c>
      <c r="B829" s="195">
        <v>1</v>
      </c>
      <c r="C829" s="195">
        <v>0</v>
      </c>
      <c r="D829" s="196" t="s">
        <v>283</v>
      </c>
      <c r="E829" s="196" t="s">
        <v>315</v>
      </c>
      <c r="F829" s="195" t="s">
        <v>394</v>
      </c>
      <c r="G829" s="195" t="s">
        <v>688</v>
      </c>
    </row>
    <row r="830" spans="1:7">
      <c r="A830" s="194" t="s">
        <v>433</v>
      </c>
      <c r="B830" s="195">
        <v>-1</v>
      </c>
      <c r="C830" s="195">
        <v>0</v>
      </c>
      <c r="D830" s="196" t="s">
        <v>282</v>
      </c>
      <c r="E830" s="196" t="s">
        <v>315</v>
      </c>
      <c r="F830" s="195" t="s">
        <v>394</v>
      </c>
      <c r="G830" s="195" t="s">
        <v>688</v>
      </c>
    </row>
    <row r="831" spans="1:7" hidden="1">
      <c r="A831" s="194" t="s">
        <v>689</v>
      </c>
      <c r="B831" s="195">
        <v>-1</v>
      </c>
      <c r="C831" s="195">
        <v>0</v>
      </c>
      <c r="D831" s="196" t="s">
        <v>283</v>
      </c>
      <c r="E831" s="196" t="s">
        <v>315</v>
      </c>
      <c r="F831" s="195" t="s">
        <v>394</v>
      </c>
      <c r="G831" s="195" t="s">
        <v>688</v>
      </c>
    </row>
    <row r="832" spans="1:7">
      <c r="A832" s="194" t="s">
        <v>689</v>
      </c>
      <c r="B832" s="195">
        <v>1</v>
      </c>
      <c r="C832" s="195">
        <v>0</v>
      </c>
      <c r="D832" s="196" t="s">
        <v>282</v>
      </c>
      <c r="E832" s="196" t="s">
        <v>315</v>
      </c>
      <c r="F832" s="195" t="s">
        <v>394</v>
      </c>
      <c r="G832" s="195" t="s">
        <v>688</v>
      </c>
    </row>
    <row r="833" spans="1:7" hidden="1">
      <c r="A833" s="194" t="s">
        <v>438</v>
      </c>
      <c r="B833" s="195">
        <v>180</v>
      </c>
      <c r="C833" s="195">
        <v>0</v>
      </c>
      <c r="D833" s="196" t="s">
        <v>283</v>
      </c>
      <c r="E833" s="196" t="s">
        <v>439</v>
      </c>
      <c r="F833" s="195" t="s">
        <v>394</v>
      </c>
      <c r="G833" s="195" t="s">
        <v>688</v>
      </c>
    </row>
    <row r="834" spans="1:7">
      <c r="A834" s="194" t="s">
        <v>438</v>
      </c>
      <c r="B834" s="195">
        <v>-180</v>
      </c>
      <c r="C834" s="195">
        <v>0</v>
      </c>
      <c r="D834" s="196" t="s">
        <v>282</v>
      </c>
      <c r="E834" s="196" t="s">
        <v>439</v>
      </c>
      <c r="F834" s="195" t="s">
        <v>394</v>
      </c>
      <c r="G834" s="195" t="s">
        <v>688</v>
      </c>
    </row>
    <row r="835" spans="1:7">
      <c r="A835" s="194" t="s">
        <v>438</v>
      </c>
      <c r="B835" s="195">
        <v>359</v>
      </c>
      <c r="C835" s="195">
        <v>0</v>
      </c>
      <c r="D835" s="196" t="s">
        <v>282</v>
      </c>
      <c r="E835" s="196" t="s">
        <v>439</v>
      </c>
      <c r="F835" s="195" t="s">
        <v>393</v>
      </c>
      <c r="G835" s="195" t="s">
        <v>688</v>
      </c>
    </row>
    <row r="836" spans="1:7" hidden="1">
      <c r="A836" s="194" t="s">
        <v>79</v>
      </c>
      <c r="B836" s="195">
        <v>-630</v>
      </c>
      <c r="C836" s="195">
        <v>0</v>
      </c>
      <c r="D836" s="196" t="s">
        <v>440</v>
      </c>
      <c r="E836" s="196" t="s">
        <v>317</v>
      </c>
      <c r="F836" s="195" t="s">
        <v>394</v>
      </c>
      <c r="G836" s="195" t="s">
        <v>688</v>
      </c>
    </row>
    <row r="837" spans="1:7" hidden="1">
      <c r="A837" s="194" t="s">
        <v>79</v>
      </c>
      <c r="B837" s="195">
        <v>630</v>
      </c>
      <c r="C837" s="195">
        <v>0</v>
      </c>
      <c r="D837" s="196" t="s">
        <v>440</v>
      </c>
      <c r="E837" s="196" t="s">
        <v>317</v>
      </c>
      <c r="F837" s="195" t="s">
        <v>441</v>
      </c>
      <c r="G837" s="195" t="s">
        <v>688</v>
      </c>
    </row>
    <row r="838" spans="1:7" hidden="1">
      <c r="A838" s="194" t="s">
        <v>79</v>
      </c>
      <c r="B838" s="195">
        <v>182</v>
      </c>
      <c r="C838" s="195">
        <v>0</v>
      </c>
      <c r="D838" s="196" t="s">
        <v>283</v>
      </c>
      <c r="E838" s="196" t="s">
        <v>317</v>
      </c>
      <c r="F838" s="195" t="s">
        <v>394</v>
      </c>
      <c r="G838" s="195" t="s">
        <v>688</v>
      </c>
    </row>
    <row r="839" spans="1:7" hidden="1">
      <c r="A839" s="194" t="s">
        <v>79</v>
      </c>
      <c r="B839" s="195">
        <v>-110</v>
      </c>
      <c r="C839" s="195">
        <v>0</v>
      </c>
      <c r="D839" s="196" t="s">
        <v>283</v>
      </c>
      <c r="E839" s="196" t="s">
        <v>317</v>
      </c>
      <c r="F839" s="195" t="s">
        <v>413</v>
      </c>
      <c r="G839" s="195" t="s">
        <v>688</v>
      </c>
    </row>
    <row r="840" spans="1:7" hidden="1">
      <c r="A840" s="194" t="s">
        <v>79</v>
      </c>
      <c r="B840" s="195">
        <v>-72</v>
      </c>
      <c r="C840" s="195">
        <v>0</v>
      </c>
      <c r="D840" s="196" t="s">
        <v>283</v>
      </c>
      <c r="E840" s="196" t="s">
        <v>317</v>
      </c>
      <c r="F840" s="195" t="s">
        <v>441</v>
      </c>
      <c r="G840" s="195" t="s">
        <v>688</v>
      </c>
    </row>
    <row r="841" spans="1:7" hidden="1">
      <c r="A841" s="194" t="s">
        <v>79</v>
      </c>
      <c r="B841" s="195">
        <v>-6610</v>
      </c>
      <c r="C841" s="195">
        <v>0</v>
      </c>
      <c r="D841" s="196" t="s">
        <v>437</v>
      </c>
      <c r="E841" s="196" t="s">
        <v>317</v>
      </c>
      <c r="F841" s="195" t="s">
        <v>394</v>
      </c>
      <c r="G841" s="195" t="s">
        <v>688</v>
      </c>
    </row>
    <row r="842" spans="1:7" hidden="1">
      <c r="A842" s="194" t="s">
        <v>79</v>
      </c>
      <c r="B842" s="195">
        <v>6610</v>
      </c>
      <c r="C842" s="195">
        <v>0</v>
      </c>
      <c r="D842" s="196" t="s">
        <v>437</v>
      </c>
      <c r="E842" s="196" t="s">
        <v>317</v>
      </c>
      <c r="F842" s="195" t="s">
        <v>441</v>
      </c>
      <c r="G842" s="195" t="s">
        <v>688</v>
      </c>
    </row>
    <row r="843" spans="1:7">
      <c r="A843" s="194" t="s">
        <v>79</v>
      </c>
      <c r="B843" s="195">
        <v>7124</v>
      </c>
      <c r="C843" s="195">
        <v>0</v>
      </c>
      <c r="D843" s="196" t="s">
        <v>282</v>
      </c>
      <c r="E843" s="196" t="s">
        <v>317</v>
      </c>
      <c r="F843" s="195" t="s">
        <v>394</v>
      </c>
      <c r="G843" s="195" t="s">
        <v>688</v>
      </c>
    </row>
    <row r="844" spans="1:7">
      <c r="A844" s="194" t="s">
        <v>79</v>
      </c>
      <c r="B844" s="195">
        <v>-31</v>
      </c>
      <c r="C844" s="195">
        <v>0</v>
      </c>
      <c r="D844" s="196" t="s">
        <v>282</v>
      </c>
      <c r="E844" s="196" t="s">
        <v>317</v>
      </c>
      <c r="F844" s="195" t="s">
        <v>393</v>
      </c>
      <c r="G844" s="195" t="s">
        <v>688</v>
      </c>
    </row>
    <row r="845" spans="1:7">
      <c r="A845" s="194" t="s">
        <v>79</v>
      </c>
      <c r="B845" s="195">
        <v>-73</v>
      </c>
      <c r="C845" s="195">
        <v>0</v>
      </c>
      <c r="D845" s="196" t="s">
        <v>282</v>
      </c>
      <c r="E845" s="196" t="s">
        <v>317</v>
      </c>
      <c r="F845" s="195" t="s">
        <v>413</v>
      </c>
      <c r="G845" s="195" t="s">
        <v>688</v>
      </c>
    </row>
    <row r="846" spans="1:7">
      <c r="A846" s="194" t="s">
        <v>79</v>
      </c>
      <c r="B846" s="195">
        <v>74</v>
      </c>
      <c r="C846" s="195">
        <v>0</v>
      </c>
      <c r="D846" s="196" t="s">
        <v>282</v>
      </c>
      <c r="E846" s="196" t="s">
        <v>317</v>
      </c>
      <c r="F846" s="195" t="s">
        <v>403</v>
      </c>
      <c r="G846" s="195" t="s">
        <v>688</v>
      </c>
    </row>
    <row r="847" spans="1:7">
      <c r="A847" s="194" t="s">
        <v>79</v>
      </c>
      <c r="B847" s="195">
        <v>-7168</v>
      </c>
      <c r="C847" s="195">
        <v>0</v>
      </c>
      <c r="D847" s="196" t="s">
        <v>282</v>
      </c>
      <c r="E847" s="196" t="s">
        <v>317</v>
      </c>
      <c r="F847" s="195" t="s">
        <v>441</v>
      </c>
      <c r="G847" s="195" t="s">
        <v>688</v>
      </c>
    </row>
    <row r="848" spans="1:7">
      <c r="A848" s="194" t="s">
        <v>79</v>
      </c>
      <c r="B848" s="195">
        <v>74</v>
      </c>
      <c r="C848" s="195">
        <v>0</v>
      </c>
      <c r="D848" s="196" t="s">
        <v>282</v>
      </c>
      <c r="E848" s="196" t="s">
        <v>317</v>
      </c>
      <c r="F848" s="195" t="s">
        <v>411</v>
      </c>
      <c r="G848" s="195" t="s">
        <v>688</v>
      </c>
    </row>
    <row r="849" spans="1:7" hidden="1">
      <c r="A849" s="194" t="s">
        <v>79</v>
      </c>
      <c r="B849" s="195">
        <v>-64</v>
      </c>
      <c r="C849" s="195">
        <v>0</v>
      </c>
      <c r="D849" s="196" t="s">
        <v>442</v>
      </c>
      <c r="E849" s="196" t="s">
        <v>317</v>
      </c>
      <c r="F849" s="195" t="s">
        <v>394</v>
      </c>
      <c r="G849" s="195" t="s">
        <v>688</v>
      </c>
    </row>
    <row r="850" spans="1:7" hidden="1">
      <c r="A850" s="194" t="s">
        <v>443</v>
      </c>
      <c r="B850" s="195">
        <v>333986</v>
      </c>
      <c r="C850" s="195">
        <v>0</v>
      </c>
      <c r="D850" s="196" t="s">
        <v>440</v>
      </c>
      <c r="E850" s="196" t="s">
        <v>39</v>
      </c>
      <c r="F850" s="195" t="s">
        <v>394</v>
      </c>
      <c r="G850" s="195" t="s">
        <v>688</v>
      </c>
    </row>
    <row r="851" spans="1:7">
      <c r="A851" s="194" t="s">
        <v>444</v>
      </c>
      <c r="B851" s="195">
        <v>1029</v>
      </c>
      <c r="C851" s="195">
        <v>0</v>
      </c>
      <c r="D851" s="196" t="s">
        <v>282</v>
      </c>
      <c r="E851" s="196" t="s">
        <v>317</v>
      </c>
      <c r="F851" s="195" t="s">
        <v>394</v>
      </c>
      <c r="G851" s="195" t="s">
        <v>688</v>
      </c>
    </row>
    <row r="852" spans="1:7">
      <c r="A852" s="194" t="s">
        <v>444</v>
      </c>
      <c r="B852" s="195">
        <v>554</v>
      </c>
      <c r="C852" s="195">
        <v>0</v>
      </c>
      <c r="D852" s="196" t="s">
        <v>282</v>
      </c>
      <c r="E852" s="196" t="s">
        <v>317</v>
      </c>
      <c r="F852" s="195" t="s">
        <v>445</v>
      </c>
      <c r="G852" s="195" t="s">
        <v>688</v>
      </c>
    </row>
    <row r="853" spans="1:7">
      <c r="A853" s="194" t="s">
        <v>444</v>
      </c>
      <c r="B853" s="195">
        <v>-1583</v>
      </c>
      <c r="C853" s="195">
        <v>0</v>
      </c>
      <c r="D853" s="196" t="s">
        <v>282</v>
      </c>
      <c r="E853" s="196" t="s">
        <v>317</v>
      </c>
      <c r="F853" s="195" t="s">
        <v>393</v>
      </c>
      <c r="G853" s="195" t="s">
        <v>688</v>
      </c>
    </row>
    <row r="854" spans="1:7">
      <c r="A854" s="194" t="s">
        <v>446</v>
      </c>
      <c r="B854" s="195">
        <v>-8460</v>
      </c>
      <c r="C854" s="195">
        <v>0</v>
      </c>
      <c r="D854" s="196" t="s">
        <v>282</v>
      </c>
      <c r="E854" s="196" t="s">
        <v>447</v>
      </c>
      <c r="F854" s="195" t="s">
        <v>394</v>
      </c>
      <c r="G854" s="195" t="s">
        <v>688</v>
      </c>
    </row>
    <row r="855" spans="1:7">
      <c r="A855" s="194" t="s">
        <v>446</v>
      </c>
      <c r="B855" s="195">
        <v>8460</v>
      </c>
      <c r="C855" s="195">
        <v>0</v>
      </c>
      <c r="D855" s="196" t="s">
        <v>282</v>
      </c>
      <c r="E855" s="196" t="s">
        <v>447</v>
      </c>
      <c r="F855" s="195" t="s">
        <v>397</v>
      </c>
      <c r="G855" s="195" t="s">
        <v>688</v>
      </c>
    </row>
    <row r="856" spans="1:7">
      <c r="A856" s="194" t="s">
        <v>448</v>
      </c>
      <c r="B856" s="195">
        <v>560</v>
      </c>
      <c r="C856" s="195">
        <v>0</v>
      </c>
      <c r="D856" s="196" t="s">
        <v>282</v>
      </c>
      <c r="E856" s="196" t="s">
        <v>317</v>
      </c>
      <c r="F856" s="195" t="s">
        <v>394</v>
      </c>
      <c r="G856" s="195" t="s">
        <v>688</v>
      </c>
    </row>
    <row r="857" spans="1:7">
      <c r="A857" s="194" t="s">
        <v>448</v>
      </c>
      <c r="B857" s="195">
        <v>-560</v>
      </c>
      <c r="C857" s="195">
        <v>0</v>
      </c>
      <c r="D857" s="196" t="s">
        <v>282</v>
      </c>
      <c r="E857" s="196" t="s">
        <v>317</v>
      </c>
      <c r="F857" s="195" t="s">
        <v>449</v>
      </c>
      <c r="G857" s="195" t="s">
        <v>688</v>
      </c>
    </row>
    <row r="858" spans="1:7" hidden="1">
      <c r="A858" s="194" t="s">
        <v>399</v>
      </c>
      <c r="B858" s="195">
        <v>1615</v>
      </c>
      <c r="C858" s="195">
        <v>0</v>
      </c>
      <c r="D858" s="196" t="s">
        <v>437</v>
      </c>
      <c r="E858" s="196" t="s">
        <v>317</v>
      </c>
      <c r="F858" s="195" t="s">
        <v>394</v>
      </c>
      <c r="G858" s="195" t="s">
        <v>688</v>
      </c>
    </row>
    <row r="859" spans="1:7" hidden="1">
      <c r="A859" s="194" t="s">
        <v>399</v>
      </c>
      <c r="B859" s="195">
        <v>-1615</v>
      </c>
      <c r="C859" s="195">
        <v>0</v>
      </c>
      <c r="D859" s="196" t="s">
        <v>437</v>
      </c>
      <c r="E859" s="196" t="s">
        <v>317</v>
      </c>
      <c r="F859" s="195" t="s">
        <v>441</v>
      </c>
      <c r="G859" s="195" t="s">
        <v>688</v>
      </c>
    </row>
    <row r="860" spans="1:7">
      <c r="A860" s="194" t="s">
        <v>399</v>
      </c>
      <c r="B860" s="195">
        <v>-695</v>
      </c>
      <c r="C860" s="195">
        <v>0</v>
      </c>
      <c r="D860" s="196" t="s">
        <v>282</v>
      </c>
      <c r="E860" s="196" t="s">
        <v>317</v>
      </c>
      <c r="F860" s="195" t="s">
        <v>394</v>
      </c>
      <c r="G860" s="195" t="s">
        <v>688</v>
      </c>
    </row>
    <row r="861" spans="1:7">
      <c r="A861" s="194" t="s">
        <v>399</v>
      </c>
      <c r="B861" s="195">
        <v>-508</v>
      </c>
      <c r="C861" s="195">
        <v>0</v>
      </c>
      <c r="D861" s="196" t="s">
        <v>282</v>
      </c>
      <c r="E861" s="196" t="s">
        <v>317</v>
      </c>
      <c r="F861" s="195" t="s">
        <v>408</v>
      </c>
      <c r="G861" s="195" t="s">
        <v>688</v>
      </c>
    </row>
    <row r="862" spans="1:7">
      <c r="A862" s="194" t="s">
        <v>399</v>
      </c>
      <c r="B862" s="195">
        <v>-390</v>
      </c>
      <c r="C862" s="195">
        <v>0</v>
      </c>
      <c r="D862" s="196" t="s">
        <v>282</v>
      </c>
      <c r="E862" s="196" t="s">
        <v>317</v>
      </c>
      <c r="F862" s="195" t="s">
        <v>393</v>
      </c>
      <c r="G862" s="195" t="s">
        <v>688</v>
      </c>
    </row>
    <row r="863" spans="1:7">
      <c r="A863" s="194" t="s">
        <v>399</v>
      </c>
      <c r="B863" s="195">
        <v>368</v>
      </c>
      <c r="C863" s="195">
        <v>0</v>
      </c>
      <c r="D863" s="196" t="s">
        <v>282</v>
      </c>
      <c r="E863" s="196" t="s">
        <v>317</v>
      </c>
      <c r="F863" s="195" t="s">
        <v>413</v>
      </c>
      <c r="G863" s="195" t="s">
        <v>688</v>
      </c>
    </row>
    <row r="864" spans="1:7">
      <c r="A864" s="194" t="s">
        <v>399</v>
      </c>
      <c r="B864" s="195">
        <v>1615</v>
      </c>
      <c r="C864" s="195">
        <v>0</v>
      </c>
      <c r="D864" s="196" t="s">
        <v>282</v>
      </c>
      <c r="E864" s="196" t="s">
        <v>317</v>
      </c>
      <c r="F864" s="195" t="s">
        <v>441</v>
      </c>
      <c r="G864" s="195" t="s">
        <v>688</v>
      </c>
    </row>
    <row r="865" spans="1:7">
      <c r="A865" s="194" t="s">
        <v>399</v>
      </c>
      <c r="B865" s="195">
        <v>-390</v>
      </c>
      <c r="C865" s="195">
        <v>0</v>
      </c>
      <c r="D865" s="196" t="s">
        <v>282</v>
      </c>
      <c r="E865" s="196" t="s">
        <v>317</v>
      </c>
      <c r="F865" s="195" t="s">
        <v>449</v>
      </c>
      <c r="G865" s="195" t="s">
        <v>688</v>
      </c>
    </row>
    <row r="866" spans="1:7" hidden="1">
      <c r="A866" s="194" t="s">
        <v>399</v>
      </c>
      <c r="B866" s="195">
        <v>154</v>
      </c>
      <c r="C866" s="195">
        <v>0</v>
      </c>
      <c r="D866" s="196" t="s">
        <v>442</v>
      </c>
      <c r="E866" s="196" t="s">
        <v>317</v>
      </c>
      <c r="F866" s="195" t="s">
        <v>394</v>
      </c>
      <c r="G866" s="195" t="s">
        <v>688</v>
      </c>
    </row>
    <row r="867" spans="1:7">
      <c r="A867" s="194" t="s">
        <v>450</v>
      </c>
      <c r="B867" s="195">
        <v>26</v>
      </c>
      <c r="C867" s="195">
        <v>0</v>
      </c>
      <c r="D867" s="196" t="s">
        <v>282</v>
      </c>
      <c r="E867" s="196" t="s">
        <v>319</v>
      </c>
      <c r="F867" s="195" t="s">
        <v>408</v>
      </c>
      <c r="G867" s="195" t="s">
        <v>688</v>
      </c>
    </row>
    <row r="868" spans="1:7">
      <c r="A868" s="194" t="s">
        <v>450</v>
      </c>
      <c r="B868" s="195">
        <v>-26</v>
      </c>
      <c r="C868" s="195">
        <v>0</v>
      </c>
      <c r="D868" s="196" t="s">
        <v>282</v>
      </c>
      <c r="E868" s="196" t="s">
        <v>319</v>
      </c>
      <c r="F868" s="195" t="s">
        <v>393</v>
      </c>
      <c r="G868" s="195" t="s">
        <v>688</v>
      </c>
    </row>
    <row r="869" spans="1:7">
      <c r="A869" s="194" t="s">
        <v>451</v>
      </c>
      <c r="B869" s="195">
        <v>-26</v>
      </c>
      <c r="C869" s="195">
        <v>0</v>
      </c>
      <c r="D869" s="196" t="s">
        <v>282</v>
      </c>
      <c r="E869" s="196" t="s">
        <v>319</v>
      </c>
      <c r="F869" s="195" t="s">
        <v>408</v>
      </c>
      <c r="G869" s="195" t="s">
        <v>688</v>
      </c>
    </row>
    <row r="870" spans="1:7">
      <c r="A870" s="194" t="s">
        <v>451</v>
      </c>
      <c r="B870" s="195">
        <v>26</v>
      </c>
      <c r="C870" s="195">
        <v>0</v>
      </c>
      <c r="D870" s="196" t="s">
        <v>282</v>
      </c>
      <c r="E870" s="196" t="s">
        <v>319</v>
      </c>
      <c r="F870" s="195" t="s">
        <v>393</v>
      </c>
      <c r="G870" s="195" t="s">
        <v>688</v>
      </c>
    </row>
    <row r="871" spans="1:7" hidden="1">
      <c r="A871" s="194" t="s">
        <v>452</v>
      </c>
      <c r="B871" s="195">
        <v>2552</v>
      </c>
      <c r="C871" s="195">
        <v>0</v>
      </c>
      <c r="D871" s="196" t="s">
        <v>442</v>
      </c>
      <c r="E871" s="196" t="s">
        <v>317</v>
      </c>
      <c r="F871" s="195" t="s">
        <v>394</v>
      </c>
      <c r="G871" s="195" t="s">
        <v>688</v>
      </c>
    </row>
    <row r="872" spans="1:7" hidden="1">
      <c r="A872" s="194" t="s">
        <v>38</v>
      </c>
      <c r="B872" s="195">
        <v>363</v>
      </c>
      <c r="C872" s="195">
        <v>0</v>
      </c>
      <c r="D872" s="196" t="s">
        <v>283</v>
      </c>
      <c r="E872" s="196" t="s">
        <v>320</v>
      </c>
      <c r="F872" s="195" t="s">
        <v>394</v>
      </c>
      <c r="G872" s="195" t="s">
        <v>688</v>
      </c>
    </row>
    <row r="873" spans="1:7" hidden="1">
      <c r="A873" s="194" t="s">
        <v>38</v>
      </c>
      <c r="B873" s="195">
        <v>-363</v>
      </c>
      <c r="C873" s="195">
        <v>0</v>
      </c>
      <c r="D873" s="196" t="s">
        <v>283</v>
      </c>
      <c r="E873" s="196" t="s">
        <v>320</v>
      </c>
      <c r="F873" s="195" t="s">
        <v>408</v>
      </c>
      <c r="G873" s="195" t="s">
        <v>688</v>
      </c>
    </row>
    <row r="874" spans="1:7">
      <c r="A874" s="194" t="s">
        <v>38</v>
      </c>
      <c r="B874" s="195">
        <v>363</v>
      </c>
      <c r="C874" s="195">
        <v>0</v>
      </c>
      <c r="D874" s="196" t="s">
        <v>282</v>
      </c>
      <c r="E874" s="196" t="s">
        <v>320</v>
      </c>
      <c r="F874" s="195" t="s">
        <v>394</v>
      </c>
      <c r="G874" s="195" t="s">
        <v>688</v>
      </c>
    </row>
    <row r="875" spans="1:7">
      <c r="A875" s="194" t="s">
        <v>38</v>
      </c>
      <c r="B875" s="195">
        <v>-363</v>
      </c>
      <c r="C875" s="195">
        <v>0</v>
      </c>
      <c r="D875" s="196" t="s">
        <v>282</v>
      </c>
      <c r="E875" s="196" t="s">
        <v>320</v>
      </c>
      <c r="F875" s="195" t="s">
        <v>408</v>
      </c>
      <c r="G875" s="195" t="s">
        <v>688</v>
      </c>
    </row>
    <row r="876" spans="1:7" hidden="1">
      <c r="A876" s="194" t="s">
        <v>38</v>
      </c>
      <c r="B876" s="195">
        <v>1428</v>
      </c>
      <c r="C876" s="195">
        <v>0</v>
      </c>
      <c r="D876" s="196" t="s">
        <v>442</v>
      </c>
      <c r="E876" s="196" t="s">
        <v>320</v>
      </c>
      <c r="F876" s="195" t="s">
        <v>394</v>
      </c>
      <c r="G876" s="195" t="s">
        <v>688</v>
      </c>
    </row>
    <row r="877" spans="1:7" hidden="1">
      <c r="A877" s="194" t="s">
        <v>453</v>
      </c>
      <c r="B877" s="195">
        <v>643</v>
      </c>
      <c r="C877" s="195">
        <v>0</v>
      </c>
      <c r="D877" s="196" t="s">
        <v>437</v>
      </c>
      <c r="E877" s="196" t="s">
        <v>324</v>
      </c>
      <c r="F877" s="195" t="s">
        <v>394</v>
      </c>
      <c r="G877" s="195" t="s">
        <v>688</v>
      </c>
    </row>
    <row r="878" spans="1:7" hidden="1">
      <c r="A878" s="194" t="s">
        <v>454</v>
      </c>
      <c r="B878" s="195">
        <v>-643</v>
      </c>
      <c r="C878" s="195">
        <v>0</v>
      </c>
      <c r="D878" s="196" t="s">
        <v>437</v>
      </c>
      <c r="E878" s="196" t="s">
        <v>324</v>
      </c>
      <c r="F878" s="195" t="s">
        <v>394</v>
      </c>
      <c r="G878" s="195" t="s">
        <v>688</v>
      </c>
    </row>
    <row r="879" spans="1:7" hidden="1">
      <c r="A879" s="194" t="s">
        <v>455</v>
      </c>
      <c r="B879" s="195">
        <v>411</v>
      </c>
      <c r="C879" s="195">
        <v>0</v>
      </c>
      <c r="D879" s="196" t="s">
        <v>283</v>
      </c>
      <c r="E879" s="196" t="s">
        <v>324</v>
      </c>
      <c r="F879" s="195" t="s">
        <v>394</v>
      </c>
      <c r="G879" s="195" t="s">
        <v>688</v>
      </c>
    </row>
    <row r="880" spans="1:7" hidden="1">
      <c r="A880" s="194" t="s">
        <v>455</v>
      </c>
      <c r="B880" s="195">
        <v>27</v>
      </c>
      <c r="C880" s="195">
        <v>0</v>
      </c>
      <c r="D880" s="196" t="s">
        <v>283</v>
      </c>
      <c r="E880" s="196" t="s">
        <v>324</v>
      </c>
      <c r="F880" s="195" t="s">
        <v>408</v>
      </c>
      <c r="G880" s="195" t="s">
        <v>688</v>
      </c>
    </row>
    <row r="881" spans="1:7">
      <c r="A881" s="194" t="s">
        <v>455</v>
      </c>
      <c r="B881" s="195">
        <v>-65</v>
      </c>
      <c r="C881" s="195">
        <v>0</v>
      </c>
      <c r="D881" s="196" t="s">
        <v>282</v>
      </c>
      <c r="E881" s="196" t="s">
        <v>324</v>
      </c>
      <c r="F881" s="195" t="s">
        <v>394</v>
      </c>
      <c r="G881" s="195" t="s">
        <v>688</v>
      </c>
    </row>
    <row r="882" spans="1:7">
      <c r="A882" s="194" t="s">
        <v>455</v>
      </c>
      <c r="B882" s="195">
        <v>503</v>
      </c>
      <c r="C882" s="195">
        <v>0</v>
      </c>
      <c r="D882" s="196" t="s">
        <v>282</v>
      </c>
      <c r="E882" s="196" t="s">
        <v>324</v>
      </c>
      <c r="F882" s="195" t="s">
        <v>408</v>
      </c>
      <c r="G882" s="195" t="s">
        <v>688</v>
      </c>
    </row>
    <row r="883" spans="1:7" hidden="1">
      <c r="A883" s="194" t="s">
        <v>456</v>
      </c>
      <c r="B883" s="195">
        <v>-411</v>
      </c>
      <c r="C883" s="195">
        <v>0</v>
      </c>
      <c r="D883" s="196" t="s">
        <v>283</v>
      </c>
      <c r="E883" s="196" t="s">
        <v>324</v>
      </c>
      <c r="F883" s="195" t="s">
        <v>394</v>
      </c>
      <c r="G883" s="195" t="s">
        <v>688</v>
      </c>
    </row>
    <row r="884" spans="1:7" hidden="1">
      <c r="A884" s="194" t="s">
        <v>456</v>
      </c>
      <c r="B884" s="195">
        <v>-27</v>
      </c>
      <c r="C884" s="195">
        <v>0</v>
      </c>
      <c r="D884" s="196" t="s">
        <v>283</v>
      </c>
      <c r="E884" s="196" t="s">
        <v>324</v>
      </c>
      <c r="F884" s="195" t="s">
        <v>408</v>
      </c>
      <c r="G884" s="195" t="s">
        <v>688</v>
      </c>
    </row>
    <row r="885" spans="1:7">
      <c r="A885" s="194" t="s">
        <v>456</v>
      </c>
      <c r="B885" s="195">
        <v>65</v>
      </c>
      <c r="C885" s="195">
        <v>0</v>
      </c>
      <c r="D885" s="196" t="s">
        <v>282</v>
      </c>
      <c r="E885" s="196" t="s">
        <v>324</v>
      </c>
      <c r="F885" s="195" t="s">
        <v>394</v>
      </c>
      <c r="G885" s="195" t="s">
        <v>688</v>
      </c>
    </row>
    <row r="886" spans="1:7">
      <c r="A886" s="194" t="s">
        <v>456</v>
      </c>
      <c r="B886" s="195">
        <v>-503</v>
      </c>
      <c r="C886" s="195">
        <v>0</v>
      </c>
      <c r="D886" s="196" t="s">
        <v>282</v>
      </c>
      <c r="E886" s="196" t="s">
        <v>324</v>
      </c>
      <c r="F886" s="195" t="s">
        <v>408</v>
      </c>
      <c r="G886" s="195" t="s">
        <v>688</v>
      </c>
    </row>
    <row r="887" spans="1:7">
      <c r="A887" s="194" t="s">
        <v>457</v>
      </c>
      <c r="B887" s="195">
        <v>-65</v>
      </c>
      <c r="C887" s="195">
        <v>0</v>
      </c>
      <c r="D887" s="196" t="s">
        <v>282</v>
      </c>
      <c r="E887" s="196" t="s">
        <v>39</v>
      </c>
      <c r="F887" s="195" t="s">
        <v>394</v>
      </c>
      <c r="G887" s="195" t="s">
        <v>688</v>
      </c>
    </row>
    <row r="888" spans="1:7">
      <c r="A888" s="194" t="s">
        <v>457</v>
      </c>
      <c r="B888" s="195">
        <v>65</v>
      </c>
      <c r="C888" s="195">
        <v>0</v>
      </c>
      <c r="D888" s="196" t="s">
        <v>282</v>
      </c>
      <c r="E888" s="196" t="s">
        <v>39</v>
      </c>
      <c r="F888" s="195" t="s">
        <v>393</v>
      </c>
      <c r="G888" s="195" t="s">
        <v>688</v>
      </c>
    </row>
    <row r="889" spans="1:7" hidden="1">
      <c r="A889" s="194" t="s">
        <v>137</v>
      </c>
      <c r="B889" s="195">
        <v>227</v>
      </c>
      <c r="C889" s="195">
        <v>0</v>
      </c>
      <c r="D889" s="196" t="s">
        <v>283</v>
      </c>
      <c r="E889" s="196" t="s">
        <v>317</v>
      </c>
      <c r="F889" s="195" t="s">
        <v>394</v>
      </c>
      <c r="G889" s="195" t="s">
        <v>688</v>
      </c>
    </row>
    <row r="890" spans="1:7" hidden="1">
      <c r="A890" s="194" t="s">
        <v>137</v>
      </c>
      <c r="B890" s="195">
        <v>-40</v>
      </c>
      <c r="C890" s="195">
        <v>0</v>
      </c>
      <c r="D890" s="196" t="s">
        <v>283</v>
      </c>
      <c r="E890" s="196" t="s">
        <v>317</v>
      </c>
      <c r="F890" s="195" t="s">
        <v>397</v>
      </c>
      <c r="G890" s="195" t="s">
        <v>688</v>
      </c>
    </row>
    <row r="891" spans="1:7" hidden="1">
      <c r="A891" s="194" t="s">
        <v>137</v>
      </c>
      <c r="B891" s="195">
        <v>55</v>
      </c>
      <c r="C891" s="195">
        <v>0</v>
      </c>
      <c r="D891" s="196" t="s">
        <v>283</v>
      </c>
      <c r="E891" s="196" t="s">
        <v>317</v>
      </c>
      <c r="F891" s="195" t="s">
        <v>413</v>
      </c>
      <c r="G891" s="195" t="s">
        <v>688</v>
      </c>
    </row>
    <row r="892" spans="1:7" hidden="1">
      <c r="A892" s="194" t="s">
        <v>137</v>
      </c>
      <c r="B892" s="195">
        <v>-241</v>
      </c>
      <c r="C892" s="195">
        <v>0</v>
      </c>
      <c r="D892" s="196" t="s">
        <v>283</v>
      </c>
      <c r="E892" s="196" t="s">
        <v>317</v>
      </c>
      <c r="F892" s="195" t="s">
        <v>441</v>
      </c>
      <c r="G892" s="195" t="s">
        <v>688</v>
      </c>
    </row>
    <row r="893" spans="1:7">
      <c r="A893" s="194" t="s">
        <v>137</v>
      </c>
      <c r="B893" s="195">
        <v>-104</v>
      </c>
      <c r="C893" s="195">
        <v>0</v>
      </c>
      <c r="D893" s="196" t="s">
        <v>282</v>
      </c>
      <c r="E893" s="196" t="s">
        <v>317</v>
      </c>
      <c r="F893" s="195" t="s">
        <v>394</v>
      </c>
      <c r="G893" s="195" t="s">
        <v>688</v>
      </c>
    </row>
    <row r="894" spans="1:7">
      <c r="A894" s="194" t="s">
        <v>137</v>
      </c>
      <c r="B894" s="195">
        <v>-340</v>
      </c>
      <c r="C894" s="195">
        <v>0</v>
      </c>
      <c r="D894" s="196" t="s">
        <v>282</v>
      </c>
      <c r="E894" s="196" t="s">
        <v>317</v>
      </c>
      <c r="F894" s="195" t="s">
        <v>445</v>
      </c>
      <c r="G894" s="195" t="s">
        <v>688</v>
      </c>
    </row>
    <row r="895" spans="1:7">
      <c r="A895" s="194" t="s">
        <v>137</v>
      </c>
      <c r="B895" s="195">
        <v>159</v>
      </c>
      <c r="C895" s="195">
        <v>0</v>
      </c>
      <c r="D895" s="196" t="s">
        <v>282</v>
      </c>
      <c r="E895" s="196" t="s">
        <v>317</v>
      </c>
      <c r="F895" s="195" t="s">
        <v>408</v>
      </c>
      <c r="G895" s="195" t="s">
        <v>688</v>
      </c>
    </row>
    <row r="896" spans="1:7">
      <c r="A896" s="194" t="s">
        <v>137</v>
      </c>
      <c r="B896" s="195">
        <v>318</v>
      </c>
      <c r="C896" s="195">
        <v>0</v>
      </c>
      <c r="D896" s="196" t="s">
        <v>282</v>
      </c>
      <c r="E896" s="196" t="s">
        <v>317</v>
      </c>
      <c r="F896" s="195" t="s">
        <v>393</v>
      </c>
      <c r="G896" s="195" t="s">
        <v>688</v>
      </c>
    </row>
    <row r="897" spans="1:7">
      <c r="A897" s="194" t="s">
        <v>137</v>
      </c>
      <c r="B897" s="195">
        <v>142</v>
      </c>
      <c r="C897" s="195">
        <v>0</v>
      </c>
      <c r="D897" s="196" t="s">
        <v>282</v>
      </c>
      <c r="E897" s="196" t="s">
        <v>317</v>
      </c>
      <c r="F897" s="195" t="s">
        <v>413</v>
      </c>
      <c r="G897" s="195" t="s">
        <v>688</v>
      </c>
    </row>
    <row r="898" spans="1:7">
      <c r="A898" s="194" t="s">
        <v>137</v>
      </c>
      <c r="B898" s="195">
        <v>-307</v>
      </c>
      <c r="C898" s="195">
        <v>0</v>
      </c>
      <c r="D898" s="196" t="s">
        <v>282</v>
      </c>
      <c r="E898" s="196" t="s">
        <v>317</v>
      </c>
      <c r="F898" s="195" t="s">
        <v>403</v>
      </c>
      <c r="G898" s="195" t="s">
        <v>688</v>
      </c>
    </row>
    <row r="899" spans="1:7">
      <c r="A899" s="194" t="s">
        <v>137</v>
      </c>
      <c r="B899" s="195">
        <v>241</v>
      </c>
      <c r="C899" s="195">
        <v>0</v>
      </c>
      <c r="D899" s="196" t="s">
        <v>282</v>
      </c>
      <c r="E899" s="196" t="s">
        <v>317</v>
      </c>
      <c r="F899" s="195" t="s">
        <v>441</v>
      </c>
      <c r="G899" s="195" t="s">
        <v>688</v>
      </c>
    </row>
    <row r="900" spans="1:7">
      <c r="A900" s="194" t="s">
        <v>137</v>
      </c>
      <c r="B900" s="195">
        <v>-110</v>
      </c>
      <c r="C900" s="195">
        <v>0</v>
      </c>
      <c r="D900" s="196" t="s">
        <v>282</v>
      </c>
      <c r="E900" s="196" t="s">
        <v>317</v>
      </c>
      <c r="F900" s="195" t="s">
        <v>449</v>
      </c>
      <c r="G900" s="195" t="s">
        <v>688</v>
      </c>
    </row>
    <row r="901" spans="1:7">
      <c r="A901" s="194" t="s">
        <v>458</v>
      </c>
      <c r="B901" s="195">
        <v>9</v>
      </c>
      <c r="C901" s="195">
        <v>0</v>
      </c>
      <c r="D901" s="196" t="s">
        <v>282</v>
      </c>
      <c r="E901" s="196" t="s">
        <v>319</v>
      </c>
      <c r="F901" s="195" t="s">
        <v>394</v>
      </c>
      <c r="G901" s="195" t="s">
        <v>688</v>
      </c>
    </row>
    <row r="902" spans="1:7">
      <c r="A902" s="194" t="s">
        <v>458</v>
      </c>
      <c r="B902" s="195">
        <v>-9</v>
      </c>
      <c r="C902" s="195">
        <v>0</v>
      </c>
      <c r="D902" s="196" t="s">
        <v>282</v>
      </c>
      <c r="E902" s="196" t="s">
        <v>319</v>
      </c>
      <c r="F902" s="195" t="s">
        <v>408</v>
      </c>
      <c r="G902" s="195" t="s">
        <v>688</v>
      </c>
    </row>
    <row r="903" spans="1:7">
      <c r="A903" s="194" t="s">
        <v>459</v>
      </c>
      <c r="B903" s="195">
        <v>-9</v>
      </c>
      <c r="C903" s="195">
        <v>0</v>
      </c>
      <c r="D903" s="196" t="s">
        <v>282</v>
      </c>
      <c r="E903" s="196" t="s">
        <v>319</v>
      </c>
      <c r="F903" s="195" t="s">
        <v>394</v>
      </c>
      <c r="G903" s="195" t="s">
        <v>688</v>
      </c>
    </row>
    <row r="904" spans="1:7">
      <c r="A904" s="194" t="s">
        <v>459</v>
      </c>
      <c r="B904" s="195">
        <v>9</v>
      </c>
      <c r="C904" s="195">
        <v>0</v>
      </c>
      <c r="D904" s="196" t="s">
        <v>282</v>
      </c>
      <c r="E904" s="196" t="s">
        <v>319</v>
      </c>
      <c r="F904" s="195" t="s">
        <v>408</v>
      </c>
      <c r="G904" s="195" t="s">
        <v>688</v>
      </c>
    </row>
    <row r="905" spans="1:7">
      <c r="A905" s="194" t="s">
        <v>460</v>
      </c>
      <c r="B905" s="195">
        <v>199</v>
      </c>
      <c r="C905" s="195">
        <v>0</v>
      </c>
      <c r="D905" s="196" t="s">
        <v>282</v>
      </c>
      <c r="E905" s="196" t="s">
        <v>317</v>
      </c>
      <c r="F905" s="195" t="s">
        <v>394</v>
      </c>
      <c r="G905" s="195" t="s">
        <v>688</v>
      </c>
    </row>
    <row r="906" spans="1:7">
      <c r="A906" s="194" t="s">
        <v>460</v>
      </c>
      <c r="B906" s="195">
        <v>697</v>
      </c>
      <c r="C906" s="195">
        <v>0</v>
      </c>
      <c r="D906" s="196" t="s">
        <v>282</v>
      </c>
      <c r="E906" s="196" t="s">
        <v>317</v>
      </c>
      <c r="F906" s="195" t="s">
        <v>445</v>
      </c>
      <c r="G906" s="195" t="s">
        <v>688</v>
      </c>
    </row>
    <row r="907" spans="1:7">
      <c r="A907" s="194" t="s">
        <v>460</v>
      </c>
      <c r="B907" s="195">
        <v>-705</v>
      </c>
      <c r="C907" s="195">
        <v>0</v>
      </c>
      <c r="D907" s="196" t="s">
        <v>282</v>
      </c>
      <c r="E907" s="196" t="s">
        <v>317</v>
      </c>
      <c r="F907" s="195" t="s">
        <v>397</v>
      </c>
      <c r="G907" s="195" t="s">
        <v>688</v>
      </c>
    </row>
    <row r="908" spans="1:7">
      <c r="A908" s="194" t="s">
        <v>460</v>
      </c>
      <c r="B908" s="195">
        <v>-191</v>
      </c>
      <c r="C908" s="195">
        <v>0</v>
      </c>
      <c r="D908" s="196" t="s">
        <v>282</v>
      </c>
      <c r="E908" s="196" t="s">
        <v>317</v>
      </c>
      <c r="F908" s="195" t="s">
        <v>393</v>
      </c>
      <c r="G908" s="195" t="s">
        <v>688</v>
      </c>
    </row>
    <row r="909" spans="1:7">
      <c r="A909" s="194" t="s">
        <v>461</v>
      </c>
      <c r="B909" s="195">
        <v>426</v>
      </c>
      <c r="C909" s="195">
        <v>0</v>
      </c>
      <c r="D909" s="196" t="s">
        <v>282</v>
      </c>
      <c r="E909" s="196" t="s">
        <v>39</v>
      </c>
      <c r="F909" s="195" t="s">
        <v>394</v>
      </c>
      <c r="G909" s="195" t="s">
        <v>688</v>
      </c>
    </row>
    <row r="910" spans="1:7">
      <c r="A910" s="194" t="s">
        <v>461</v>
      </c>
      <c r="B910" s="195">
        <v>-572</v>
      </c>
      <c r="C910" s="195">
        <v>0</v>
      </c>
      <c r="D910" s="196" t="s">
        <v>282</v>
      </c>
      <c r="E910" s="196" t="s">
        <v>39</v>
      </c>
      <c r="F910" s="195" t="s">
        <v>445</v>
      </c>
      <c r="G910" s="195" t="s">
        <v>688</v>
      </c>
    </row>
    <row r="911" spans="1:7">
      <c r="A911" s="194" t="s">
        <v>461</v>
      </c>
      <c r="B911" s="195">
        <v>146</v>
      </c>
      <c r="C911" s="195">
        <v>0</v>
      </c>
      <c r="D911" s="196" t="s">
        <v>282</v>
      </c>
      <c r="E911" s="196" t="s">
        <v>39</v>
      </c>
      <c r="F911" s="195" t="s">
        <v>393</v>
      </c>
      <c r="G911" s="195" t="s">
        <v>688</v>
      </c>
    </row>
    <row r="912" spans="1:7">
      <c r="A912" s="194" t="s">
        <v>465</v>
      </c>
      <c r="B912" s="195">
        <v>649</v>
      </c>
      <c r="C912" s="195">
        <v>0</v>
      </c>
      <c r="D912" s="196" t="s">
        <v>282</v>
      </c>
      <c r="E912" s="196" t="s">
        <v>317</v>
      </c>
      <c r="F912" s="195" t="s">
        <v>394</v>
      </c>
      <c r="G912" s="195" t="s">
        <v>688</v>
      </c>
    </row>
    <row r="913" spans="1:7">
      <c r="A913" s="194" t="s">
        <v>465</v>
      </c>
      <c r="B913" s="195">
        <v>-1262</v>
      </c>
      <c r="C913" s="195">
        <v>0</v>
      </c>
      <c r="D913" s="196" t="s">
        <v>282</v>
      </c>
      <c r="E913" s="196" t="s">
        <v>317</v>
      </c>
      <c r="F913" s="195" t="s">
        <v>445</v>
      </c>
      <c r="G913" s="195" t="s">
        <v>688</v>
      </c>
    </row>
    <row r="914" spans="1:7">
      <c r="A914" s="194" t="s">
        <v>465</v>
      </c>
      <c r="B914" s="195">
        <v>613</v>
      </c>
      <c r="C914" s="195">
        <v>0</v>
      </c>
      <c r="D914" s="196" t="s">
        <v>282</v>
      </c>
      <c r="E914" s="196" t="s">
        <v>317</v>
      </c>
      <c r="F914" s="195" t="s">
        <v>393</v>
      </c>
      <c r="G914" s="195" t="s">
        <v>688</v>
      </c>
    </row>
    <row r="915" spans="1:7">
      <c r="A915" s="194" t="s">
        <v>128</v>
      </c>
      <c r="B915" s="195">
        <v>-8</v>
      </c>
      <c r="C915" s="195">
        <v>0</v>
      </c>
      <c r="D915" s="196" t="s">
        <v>282</v>
      </c>
      <c r="E915" s="196" t="s">
        <v>317</v>
      </c>
      <c r="F915" s="195" t="s">
        <v>394</v>
      </c>
      <c r="G915" s="195" t="s">
        <v>688</v>
      </c>
    </row>
    <row r="916" spans="1:7">
      <c r="A916" s="194" t="s">
        <v>128</v>
      </c>
      <c r="B916" s="195">
        <v>8</v>
      </c>
      <c r="C916" s="195">
        <v>0</v>
      </c>
      <c r="D916" s="196" t="s">
        <v>282</v>
      </c>
      <c r="E916" s="196" t="s">
        <v>317</v>
      </c>
      <c r="F916" s="195" t="s">
        <v>393</v>
      </c>
      <c r="G916" s="195" t="s">
        <v>688</v>
      </c>
    </row>
    <row r="917" spans="1:7" hidden="1">
      <c r="A917" s="194" t="s">
        <v>471</v>
      </c>
      <c r="B917" s="195">
        <v>20000</v>
      </c>
      <c r="C917" s="195">
        <v>0</v>
      </c>
      <c r="D917" s="196" t="s">
        <v>463</v>
      </c>
      <c r="E917" s="196" t="s">
        <v>464</v>
      </c>
      <c r="F917" s="195" t="s">
        <v>468</v>
      </c>
      <c r="G917" s="195" t="s">
        <v>688</v>
      </c>
    </row>
    <row r="918" spans="1:7" hidden="1">
      <c r="A918" s="194" t="s">
        <v>471</v>
      </c>
      <c r="B918" s="195">
        <v>-90000</v>
      </c>
      <c r="C918" s="195">
        <v>0</v>
      </c>
      <c r="D918" s="196" t="s">
        <v>463</v>
      </c>
      <c r="E918" s="196" t="s">
        <v>464</v>
      </c>
      <c r="F918" s="195" t="s">
        <v>397</v>
      </c>
      <c r="G918" s="195" t="s">
        <v>688</v>
      </c>
    </row>
    <row r="919" spans="1:7" hidden="1">
      <c r="A919" s="194" t="s">
        <v>471</v>
      </c>
      <c r="B919" s="195">
        <v>70000</v>
      </c>
      <c r="C919" s="195">
        <v>0</v>
      </c>
      <c r="D919" s="196" t="s">
        <v>463</v>
      </c>
      <c r="E919" s="196" t="s">
        <v>464</v>
      </c>
      <c r="F919" s="195" t="s">
        <v>469</v>
      </c>
      <c r="G919" s="195" t="s">
        <v>688</v>
      </c>
    </row>
    <row r="920" spans="1:7" hidden="1">
      <c r="A920" s="194" t="s">
        <v>472</v>
      </c>
      <c r="B920" s="195">
        <v>-1100000</v>
      </c>
      <c r="C920" s="195">
        <v>0</v>
      </c>
      <c r="D920" s="196" t="s">
        <v>463</v>
      </c>
      <c r="E920" s="196" t="s">
        <v>464</v>
      </c>
      <c r="F920" s="195" t="s">
        <v>397</v>
      </c>
      <c r="G920" s="195" t="s">
        <v>688</v>
      </c>
    </row>
    <row r="921" spans="1:7" hidden="1">
      <c r="A921" s="194" t="s">
        <v>472</v>
      </c>
      <c r="B921" s="195">
        <v>950000</v>
      </c>
      <c r="C921" s="195">
        <v>0</v>
      </c>
      <c r="D921" s="196" t="s">
        <v>463</v>
      </c>
      <c r="E921" s="196" t="s">
        <v>464</v>
      </c>
      <c r="F921" s="195" t="s">
        <v>413</v>
      </c>
      <c r="G921" s="195" t="s">
        <v>688</v>
      </c>
    </row>
    <row r="922" spans="1:7" hidden="1">
      <c r="A922" s="194" t="s">
        <v>472</v>
      </c>
      <c r="B922" s="195">
        <v>150000</v>
      </c>
      <c r="C922" s="195">
        <v>0</v>
      </c>
      <c r="D922" s="196" t="s">
        <v>463</v>
      </c>
      <c r="E922" s="196" t="s">
        <v>464</v>
      </c>
      <c r="F922" s="195" t="s">
        <v>469</v>
      </c>
      <c r="G922" s="195" t="s">
        <v>688</v>
      </c>
    </row>
    <row r="923" spans="1:7" hidden="1">
      <c r="A923" s="194" t="s">
        <v>473</v>
      </c>
      <c r="B923" s="195">
        <v>-428</v>
      </c>
      <c r="C923" s="195">
        <v>0</v>
      </c>
      <c r="D923" s="196" t="s">
        <v>442</v>
      </c>
      <c r="E923" s="196" t="s">
        <v>39</v>
      </c>
      <c r="F923" s="195" t="s">
        <v>394</v>
      </c>
      <c r="G923" s="195" t="s">
        <v>688</v>
      </c>
    </row>
    <row r="924" spans="1:7" hidden="1">
      <c r="A924" s="194" t="s">
        <v>473</v>
      </c>
      <c r="B924" s="195">
        <v>3283</v>
      </c>
      <c r="C924" s="195">
        <v>0</v>
      </c>
      <c r="D924" s="196" t="s">
        <v>474</v>
      </c>
      <c r="E924" s="196" t="s">
        <v>39</v>
      </c>
      <c r="F924" s="195" t="s">
        <v>394</v>
      </c>
      <c r="G924" s="195" t="s">
        <v>688</v>
      </c>
    </row>
    <row r="925" spans="1:7" hidden="1">
      <c r="A925" s="194" t="s">
        <v>473</v>
      </c>
      <c r="B925" s="195">
        <v>-3283</v>
      </c>
      <c r="C925" s="195">
        <v>0</v>
      </c>
      <c r="D925" s="196" t="s">
        <v>474</v>
      </c>
      <c r="E925" s="196" t="s">
        <v>39</v>
      </c>
      <c r="F925" s="195" t="s">
        <v>402</v>
      </c>
      <c r="G925" s="195" t="s">
        <v>688</v>
      </c>
    </row>
    <row r="926" spans="1:7">
      <c r="A926" s="194" t="s">
        <v>475</v>
      </c>
      <c r="B926" s="195">
        <v>-5906</v>
      </c>
      <c r="C926" s="195">
        <v>0</v>
      </c>
      <c r="D926" s="196" t="s">
        <v>282</v>
      </c>
      <c r="E926" s="196" t="s">
        <v>317</v>
      </c>
      <c r="F926" s="195" t="s">
        <v>394</v>
      </c>
      <c r="G926" s="195" t="s">
        <v>688</v>
      </c>
    </row>
    <row r="927" spans="1:7">
      <c r="A927" s="194" t="s">
        <v>475</v>
      </c>
      <c r="B927" s="195">
        <v>345</v>
      </c>
      <c r="C927" s="195">
        <v>0</v>
      </c>
      <c r="D927" s="196" t="s">
        <v>282</v>
      </c>
      <c r="E927" s="196" t="s">
        <v>317</v>
      </c>
      <c r="F927" s="195" t="s">
        <v>445</v>
      </c>
      <c r="G927" s="195" t="s">
        <v>688</v>
      </c>
    </row>
    <row r="928" spans="1:7">
      <c r="A928" s="194" t="s">
        <v>475</v>
      </c>
      <c r="B928" s="195">
        <v>5561</v>
      </c>
      <c r="C928" s="195">
        <v>0</v>
      </c>
      <c r="D928" s="196" t="s">
        <v>282</v>
      </c>
      <c r="E928" s="196" t="s">
        <v>317</v>
      </c>
      <c r="F928" s="195" t="s">
        <v>393</v>
      </c>
      <c r="G928" s="195" t="s">
        <v>688</v>
      </c>
    </row>
    <row r="929" spans="1:7">
      <c r="A929" s="194" t="s">
        <v>690</v>
      </c>
      <c r="B929" s="195">
        <v>74</v>
      </c>
      <c r="C929" s="195">
        <v>0</v>
      </c>
      <c r="D929" s="196" t="s">
        <v>282</v>
      </c>
      <c r="E929" s="196" t="s">
        <v>317</v>
      </c>
      <c r="F929" s="195" t="s">
        <v>394</v>
      </c>
      <c r="G929" s="195" t="s">
        <v>688</v>
      </c>
    </row>
    <row r="930" spans="1:7">
      <c r="A930" s="194" t="s">
        <v>690</v>
      </c>
      <c r="B930" s="195">
        <v>-74</v>
      </c>
      <c r="C930" s="195">
        <v>0</v>
      </c>
      <c r="D930" s="196" t="s">
        <v>282</v>
      </c>
      <c r="E930" s="196" t="s">
        <v>317</v>
      </c>
      <c r="F930" s="195" t="s">
        <v>449</v>
      </c>
      <c r="G930" s="195" t="s">
        <v>688</v>
      </c>
    </row>
    <row r="931" spans="1:7" hidden="1">
      <c r="A931" s="194" t="s">
        <v>479</v>
      </c>
      <c r="B931" s="195">
        <v>-825000</v>
      </c>
      <c r="C931" s="195">
        <v>0</v>
      </c>
      <c r="D931" s="196" t="s">
        <v>480</v>
      </c>
      <c r="E931" s="196" t="s">
        <v>477</v>
      </c>
      <c r="F931" s="195" t="s">
        <v>394</v>
      </c>
      <c r="G931" s="195" t="s">
        <v>688</v>
      </c>
    </row>
    <row r="932" spans="1:7" hidden="1">
      <c r="A932" s="194" t="s">
        <v>479</v>
      </c>
      <c r="B932" s="195">
        <v>825000</v>
      </c>
      <c r="C932" s="195">
        <v>0</v>
      </c>
      <c r="D932" s="196" t="s">
        <v>480</v>
      </c>
      <c r="E932" s="196" t="s">
        <v>477</v>
      </c>
      <c r="F932" s="195" t="s">
        <v>481</v>
      </c>
      <c r="G932" s="195" t="s">
        <v>688</v>
      </c>
    </row>
    <row r="933" spans="1:7">
      <c r="A933" s="194" t="s">
        <v>479</v>
      </c>
      <c r="B933" s="195">
        <v>-425000</v>
      </c>
      <c r="C933" s="195">
        <v>0</v>
      </c>
      <c r="D933" s="196" t="s">
        <v>282</v>
      </c>
      <c r="E933" s="196" t="s">
        <v>477</v>
      </c>
      <c r="F933" s="195" t="s">
        <v>394</v>
      </c>
      <c r="G933" s="195" t="s">
        <v>688</v>
      </c>
    </row>
    <row r="934" spans="1:7">
      <c r="A934" s="194" t="s">
        <v>479</v>
      </c>
      <c r="B934" s="195">
        <v>425000</v>
      </c>
      <c r="C934" s="195">
        <v>0</v>
      </c>
      <c r="D934" s="196" t="s">
        <v>282</v>
      </c>
      <c r="E934" s="196" t="s">
        <v>477</v>
      </c>
      <c r="F934" s="195" t="s">
        <v>481</v>
      </c>
      <c r="G934" s="195" t="s">
        <v>688</v>
      </c>
    </row>
    <row r="935" spans="1:7" hidden="1">
      <c r="A935" s="194" t="s">
        <v>482</v>
      </c>
      <c r="B935" s="195">
        <v>1818750</v>
      </c>
      <c r="C935" s="195">
        <v>0</v>
      </c>
      <c r="D935" s="196" t="s">
        <v>480</v>
      </c>
      <c r="E935" s="196" t="s">
        <v>477</v>
      </c>
      <c r="F935" s="195" t="s">
        <v>394</v>
      </c>
      <c r="G935" s="195" t="s">
        <v>688</v>
      </c>
    </row>
    <row r="936" spans="1:7">
      <c r="A936" s="194" t="s">
        <v>482</v>
      </c>
      <c r="B936" s="195">
        <v>681250</v>
      </c>
      <c r="C936" s="195">
        <v>0</v>
      </c>
      <c r="D936" s="196" t="s">
        <v>282</v>
      </c>
      <c r="E936" s="196" t="s">
        <v>477</v>
      </c>
      <c r="F936" s="195" t="s">
        <v>394</v>
      </c>
      <c r="G936" s="195" t="s">
        <v>688</v>
      </c>
    </row>
    <row r="937" spans="1:7">
      <c r="A937" s="194" t="s">
        <v>483</v>
      </c>
      <c r="B937" s="195">
        <v>-996</v>
      </c>
      <c r="C937" s="195">
        <v>0</v>
      </c>
      <c r="D937" s="196" t="s">
        <v>282</v>
      </c>
      <c r="E937" s="196" t="s">
        <v>320</v>
      </c>
      <c r="F937" s="195" t="s">
        <v>394</v>
      </c>
      <c r="G937" s="195" t="s">
        <v>688</v>
      </c>
    </row>
    <row r="938" spans="1:7">
      <c r="A938" s="194" t="s">
        <v>483</v>
      </c>
      <c r="B938" s="195">
        <v>996</v>
      </c>
      <c r="C938" s="195">
        <v>0</v>
      </c>
      <c r="D938" s="196" t="s">
        <v>282</v>
      </c>
      <c r="E938" s="196" t="s">
        <v>320</v>
      </c>
      <c r="F938" s="195" t="s">
        <v>393</v>
      </c>
      <c r="G938" s="195" t="s">
        <v>688</v>
      </c>
    </row>
    <row r="939" spans="1:7">
      <c r="A939" s="194" t="s">
        <v>80</v>
      </c>
      <c r="B939" s="195">
        <v>191</v>
      </c>
      <c r="C939" s="195">
        <v>0</v>
      </c>
      <c r="D939" s="196" t="s">
        <v>282</v>
      </c>
      <c r="E939" s="196" t="s">
        <v>317</v>
      </c>
      <c r="F939" s="195" t="s">
        <v>394</v>
      </c>
      <c r="G939" s="195" t="s">
        <v>688</v>
      </c>
    </row>
    <row r="940" spans="1:7">
      <c r="A940" s="194" t="s">
        <v>80</v>
      </c>
      <c r="B940" s="195">
        <v>-191</v>
      </c>
      <c r="C940" s="195">
        <v>0</v>
      </c>
      <c r="D940" s="196" t="s">
        <v>282</v>
      </c>
      <c r="E940" s="196" t="s">
        <v>317</v>
      </c>
      <c r="F940" s="195" t="s">
        <v>393</v>
      </c>
      <c r="G940" s="195" t="s">
        <v>688</v>
      </c>
    </row>
    <row r="941" spans="1:7">
      <c r="A941" s="194" t="s">
        <v>484</v>
      </c>
      <c r="B941" s="195">
        <v>2592</v>
      </c>
      <c r="C941" s="195">
        <v>0</v>
      </c>
      <c r="D941" s="196" t="s">
        <v>282</v>
      </c>
      <c r="E941" s="196" t="s">
        <v>320</v>
      </c>
      <c r="F941" s="195" t="s">
        <v>394</v>
      </c>
      <c r="G941" s="195" t="s">
        <v>688</v>
      </c>
    </row>
    <row r="942" spans="1:7">
      <c r="A942" s="194" t="s">
        <v>484</v>
      </c>
      <c r="B942" s="195">
        <v>-2232</v>
      </c>
      <c r="C942" s="195">
        <v>0</v>
      </c>
      <c r="D942" s="196" t="s">
        <v>282</v>
      </c>
      <c r="E942" s="196" t="s">
        <v>320</v>
      </c>
      <c r="F942" s="195" t="s">
        <v>445</v>
      </c>
      <c r="G942" s="195" t="s">
        <v>688</v>
      </c>
    </row>
    <row r="943" spans="1:7">
      <c r="A943" s="194" t="s">
        <v>484</v>
      </c>
      <c r="B943" s="195">
        <v>-360</v>
      </c>
      <c r="C943" s="195">
        <v>0</v>
      </c>
      <c r="D943" s="196" t="s">
        <v>282</v>
      </c>
      <c r="E943" s="196" t="s">
        <v>320</v>
      </c>
      <c r="F943" s="195" t="s">
        <v>393</v>
      </c>
      <c r="G943" s="195" t="s">
        <v>688</v>
      </c>
    </row>
    <row r="944" spans="1:7" hidden="1">
      <c r="A944" s="194" t="s">
        <v>485</v>
      </c>
      <c r="B944" s="195">
        <v>29</v>
      </c>
      <c r="C944" s="195">
        <v>0</v>
      </c>
      <c r="D944" s="196" t="s">
        <v>440</v>
      </c>
      <c r="E944" s="196" t="s">
        <v>486</v>
      </c>
      <c r="F944" s="195" t="s">
        <v>394</v>
      </c>
      <c r="G944" s="195" t="s">
        <v>688</v>
      </c>
    </row>
    <row r="945" spans="1:7" hidden="1">
      <c r="A945" s="194" t="s">
        <v>485</v>
      </c>
      <c r="B945" s="195">
        <v>6</v>
      </c>
      <c r="C945" s="195">
        <v>0</v>
      </c>
      <c r="D945" s="196" t="s">
        <v>437</v>
      </c>
      <c r="E945" s="196" t="s">
        <v>486</v>
      </c>
      <c r="F945" s="195" t="s">
        <v>394</v>
      </c>
      <c r="G945" s="195" t="s">
        <v>688</v>
      </c>
    </row>
    <row r="946" spans="1:7" hidden="1">
      <c r="A946" s="194" t="s">
        <v>485</v>
      </c>
      <c r="B946" s="195">
        <v>-2</v>
      </c>
      <c r="C946" s="195">
        <v>0</v>
      </c>
      <c r="D946" s="196" t="s">
        <v>437</v>
      </c>
      <c r="E946" s="196" t="s">
        <v>486</v>
      </c>
      <c r="F946" s="195" t="s">
        <v>396</v>
      </c>
      <c r="G946" s="195" t="s">
        <v>688</v>
      </c>
    </row>
    <row r="947" spans="1:7" hidden="1">
      <c r="A947" s="194" t="s">
        <v>485</v>
      </c>
      <c r="B947" s="195">
        <v>-1</v>
      </c>
      <c r="C947" s="195">
        <v>0</v>
      </c>
      <c r="D947" s="196" t="s">
        <v>442</v>
      </c>
      <c r="E947" s="196" t="s">
        <v>486</v>
      </c>
      <c r="F947" s="195" t="s">
        <v>394</v>
      </c>
      <c r="G947" s="195" t="s">
        <v>688</v>
      </c>
    </row>
    <row r="948" spans="1:7" hidden="1">
      <c r="A948" s="194" t="s">
        <v>487</v>
      </c>
      <c r="B948" s="195">
        <v>70</v>
      </c>
      <c r="C948" s="195">
        <v>0</v>
      </c>
      <c r="D948" s="196" t="s">
        <v>440</v>
      </c>
      <c r="E948" s="196" t="s">
        <v>488</v>
      </c>
      <c r="F948" s="195" t="s">
        <v>394</v>
      </c>
      <c r="G948" s="195" t="s">
        <v>688</v>
      </c>
    </row>
    <row r="949" spans="1:7" hidden="1">
      <c r="A949" s="194" t="s">
        <v>489</v>
      </c>
      <c r="B949" s="195">
        <v>-70</v>
      </c>
      <c r="C949" s="195">
        <v>0</v>
      </c>
      <c r="D949" s="196" t="s">
        <v>440</v>
      </c>
      <c r="E949" s="196" t="s">
        <v>488</v>
      </c>
      <c r="F949" s="195" t="s">
        <v>394</v>
      </c>
      <c r="G949" s="195" t="s">
        <v>688</v>
      </c>
    </row>
    <row r="950" spans="1:7" hidden="1">
      <c r="A950" s="194" t="s">
        <v>490</v>
      </c>
      <c r="B950" s="195">
        <v>70</v>
      </c>
      <c r="C950" s="195">
        <v>0</v>
      </c>
      <c r="D950" s="196" t="s">
        <v>440</v>
      </c>
      <c r="E950" s="196" t="s">
        <v>488</v>
      </c>
      <c r="F950" s="195" t="s">
        <v>394</v>
      </c>
      <c r="G950" s="195" t="s">
        <v>688</v>
      </c>
    </row>
    <row r="951" spans="1:7" hidden="1">
      <c r="A951" s="194" t="s">
        <v>491</v>
      </c>
      <c r="B951" s="195">
        <v>-44</v>
      </c>
      <c r="C951" s="195">
        <v>0</v>
      </c>
      <c r="D951" s="196" t="s">
        <v>440</v>
      </c>
      <c r="E951" s="196" t="s">
        <v>486</v>
      </c>
      <c r="F951" s="195" t="s">
        <v>394</v>
      </c>
      <c r="G951" s="195" t="s">
        <v>688</v>
      </c>
    </row>
    <row r="952" spans="1:7" hidden="1">
      <c r="A952" s="194" t="s">
        <v>491</v>
      </c>
      <c r="B952" s="195">
        <v>3</v>
      </c>
      <c r="C952" s="195">
        <v>0</v>
      </c>
      <c r="D952" s="196" t="s">
        <v>440</v>
      </c>
      <c r="E952" s="196" t="s">
        <v>486</v>
      </c>
      <c r="F952" s="195" t="s">
        <v>409</v>
      </c>
      <c r="G952" s="195" t="s">
        <v>688</v>
      </c>
    </row>
    <row r="953" spans="1:7" hidden="1">
      <c r="A953" s="194" t="s">
        <v>491</v>
      </c>
      <c r="B953" s="195">
        <v>1</v>
      </c>
      <c r="C953" s="195">
        <v>0</v>
      </c>
      <c r="D953" s="196" t="s">
        <v>440</v>
      </c>
      <c r="E953" s="196" t="s">
        <v>486</v>
      </c>
      <c r="F953" s="195" t="s">
        <v>402</v>
      </c>
      <c r="G953" s="195" t="s">
        <v>688</v>
      </c>
    </row>
    <row r="954" spans="1:7" hidden="1">
      <c r="A954" s="194" t="s">
        <v>492</v>
      </c>
      <c r="B954" s="195">
        <v>288</v>
      </c>
      <c r="C954" s="195">
        <v>0</v>
      </c>
      <c r="D954" s="196" t="s">
        <v>442</v>
      </c>
      <c r="E954" s="196" t="s">
        <v>317</v>
      </c>
      <c r="F954" s="195" t="s">
        <v>394</v>
      </c>
      <c r="G954" s="195" t="s">
        <v>688</v>
      </c>
    </row>
    <row r="955" spans="1:7" hidden="1">
      <c r="A955" s="194" t="s">
        <v>691</v>
      </c>
      <c r="B955" s="195">
        <v>347600</v>
      </c>
      <c r="C955" s="195">
        <v>0</v>
      </c>
      <c r="D955" s="196" t="s">
        <v>440</v>
      </c>
      <c r="E955" s="196" t="s">
        <v>692</v>
      </c>
      <c r="F955" s="195" t="s">
        <v>409</v>
      </c>
      <c r="G955" s="195" t="s">
        <v>688</v>
      </c>
    </row>
    <row r="956" spans="1:7" hidden="1">
      <c r="A956" s="194" t="s">
        <v>693</v>
      </c>
      <c r="B956" s="195">
        <v>-347600</v>
      </c>
      <c r="C956" s="195">
        <v>0</v>
      </c>
      <c r="D956" s="196" t="s">
        <v>440</v>
      </c>
      <c r="E956" s="196" t="s">
        <v>692</v>
      </c>
      <c r="F956" s="195" t="s">
        <v>409</v>
      </c>
      <c r="G956" s="195" t="s">
        <v>688</v>
      </c>
    </row>
    <row r="957" spans="1:7" hidden="1">
      <c r="A957" s="194" t="s">
        <v>134</v>
      </c>
      <c r="B957" s="195">
        <v>72</v>
      </c>
      <c r="C957" s="195">
        <v>0</v>
      </c>
      <c r="D957" s="196" t="s">
        <v>283</v>
      </c>
      <c r="E957" s="196" t="s">
        <v>317</v>
      </c>
      <c r="F957" s="195" t="s">
        <v>394</v>
      </c>
      <c r="G957" s="195" t="s">
        <v>688</v>
      </c>
    </row>
    <row r="958" spans="1:7" hidden="1">
      <c r="A958" s="194" t="s">
        <v>134</v>
      </c>
      <c r="B958" s="195">
        <v>-73</v>
      </c>
      <c r="C958" s="195">
        <v>0</v>
      </c>
      <c r="D958" s="196" t="s">
        <v>283</v>
      </c>
      <c r="E958" s="196" t="s">
        <v>317</v>
      </c>
      <c r="F958" s="195" t="s">
        <v>441</v>
      </c>
      <c r="G958" s="195" t="s">
        <v>688</v>
      </c>
    </row>
    <row r="959" spans="1:7">
      <c r="A959" s="194" t="s">
        <v>134</v>
      </c>
      <c r="B959" s="195">
        <v>684</v>
      </c>
      <c r="C959" s="195">
        <v>0</v>
      </c>
      <c r="D959" s="196" t="s">
        <v>282</v>
      </c>
      <c r="E959" s="196" t="s">
        <v>317</v>
      </c>
      <c r="F959" s="195" t="s">
        <v>394</v>
      </c>
      <c r="G959" s="195" t="s">
        <v>688</v>
      </c>
    </row>
    <row r="960" spans="1:7">
      <c r="A960" s="194" t="s">
        <v>134</v>
      </c>
      <c r="B960" s="195">
        <v>-239</v>
      </c>
      <c r="C960" s="195">
        <v>0</v>
      </c>
      <c r="D960" s="196" t="s">
        <v>282</v>
      </c>
      <c r="E960" s="196" t="s">
        <v>317</v>
      </c>
      <c r="F960" s="195" t="s">
        <v>408</v>
      </c>
      <c r="G960" s="195" t="s">
        <v>688</v>
      </c>
    </row>
    <row r="961" spans="1:7">
      <c r="A961" s="194" t="s">
        <v>134</v>
      </c>
      <c r="B961" s="195">
        <v>-165</v>
      </c>
      <c r="C961" s="195">
        <v>0</v>
      </c>
      <c r="D961" s="196" t="s">
        <v>282</v>
      </c>
      <c r="E961" s="196" t="s">
        <v>317</v>
      </c>
      <c r="F961" s="195" t="s">
        <v>393</v>
      </c>
      <c r="G961" s="195" t="s">
        <v>688</v>
      </c>
    </row>
    <row r="962" spans="1:7">
      <c r="A962" s="194" t="s">
        <v>134</v>
      </c>
      <c r="B962" s="195">
        <v>-131</v>
      </c>
      <c r="C962" s="195">
        <v>0</v>
      </c>
      <c r="D962" s="196" t="s">
        <v>282</v>
      </c>
      <c r="E962" s="196" t="s">
        <v>317</v>
      </c>
      <c r="F962" s="195" t="s">
        <v>413</v>
      </c>
      <c r="G962" s="195" t="s">
        <v>688</v>
      </c>
    </row>
    <row r="963" spans="1:7">
      <c r="A963" s="194" t="s">
        <v>134</v>
      </c>
      <c r="B963" s="195">
        <v>-221</v>
      </c>
      <c r="C963" s="195">
        <v>0</v>
      </c>
      <c r="D963" s="196" t="s">
        <v>282</v>
      </c>
      <c r="E963" s="196" t="s">
        <v>317</v>
      </c>
      <c r="F963" s="195" t="s">
        <v>403</v>
      </c>
      <c r="G963" s="195" t="s">
        <v>688</v>
      </c>
    </row>
    <row r="964" spans="1:7">
      <c r="A964" s="194" t="s">
        <v>134</v>
      </c>
      <c r="B964" s="195">
        <v>73</v>
      </c>
      <c r="C964" s="195">
        <v>0</v>
      </c>
      <c r="D964" s="196" t="s">
        <v>282</v>
      </c>
      <c r="E964" s="196" t="s">
        <v>317</v>
      </c>
      <c r="F964" s="195" t="s">
        <v>441</v>
      </c>
      <c r="G964" s="195" t="s">
        <v>688</v>
      </c>
    </row>
    <row r="965" spans="1:7">
      <c r="A965" s="194" t="s">
        <v>493</v>
      </c>
      <c r="B965" s="195">
        <v>-9</v>
      </c>
      <c r="C965" s="195">
        <v>0</v>
      </c>
      <c r="D965" s="196" t="s">
        <v>282</v>
      </c>
      <c r="E965" s="196" t="s">
        <v>319</v>
      </c>
      <c r="F965" s="195" t="s">
        <v>408</v>
      </c>
      <c r="G965" s="195" t="s">
        <v>688</v>
      </c>
    </row>
    <row r="966" spans="1:7">
      <c r="A966" s="194" t="s">
        <v>493</v>
      </c>
      <c r="B966" s="195">
        <v>9</v>
      </c>
      <c r="C966" s="195">
        <v>0</v>
      </c>
      <c r="D966" s="196" t="s">
        <v>282</v>
      </c>
      <c r="E966" s="196" t="s">
        <v>319</v>
      </c>
      <c r="F966" s="195" t="s">
        <v>393</v>
      </c>
      <c r="G966" s="195" t="s">
        <v>688</v>
      </c>
    </row>
    <row r="967" spans="1:7">
      <c r="A967" s="194" t="s">
        <v>494</v>
      </c>
      <c r="B967" s="195">
        <v>13</v>
      </c>
      <c r="C967" s="195">
        <v>0</v>
      </c>
      <c r="D967" s="196" t="s">
        <v>282</v>
      </c>
      <c r="E967" s="196" t="s">
        <v>319</v>
      </c>
      <c r="F967" s="195" t="s">
        <v>394</v>
      </c>
      <c r="G967" s="195" t="s">
        <v>688</v>
      </c>
    </row>
    <row r="968" spans="1:7">
      <c r="A968" s="194" t="s">
        <v>494</v>
      </c>
      <c r="B968" s="195">
        <v>14</v>
      </c>
      <c r="C968" s="195">
        <v>0</v>
      </c>
      <c r="D968" s="196" t="s">
        <v>282</v>
      </c>
      <c r="E968" s="196" t="s">
        <v>319</v>
      </c>
      <c r="F968" s="195" t="s">
        <v>408</v>
      </c>
      <c r="G968" s="195" t="s">
        <v>688</v>
      </c>
    </row>
    <row r="969" spans="1:7">
      <c r="A969" s="194" t="s">
        <v>494</v>
      </c>
      <c r="B969" s="195">
        <v>-27</v>
      </c>
      <c r="C969" s="195">
        <v>0</v>
      </c>
      <c r="D969" s="196" t="s">
        <v>282</v>
      </c>
      <c r="E969" s="196" t="s">
        <v>319</v>
      </c>
      <c r="F969" s="195" t="s">
        <v>393</v>
      </c>
      <c r="G969" s="195" t="s">
        <v>688</v>
      </c>
    </row>
    <row r="970" spans="1:7">
      <c r="A970" s="194" t="s">
        <v>495</v>
      </c>
      <c r="B970" s="195">
        <v>10</v>
      </c>
      <c r="C970" s="195">
        <v>0</v>
      </c>
      <c r="D970" s="196" t="s">
        <v>282</v>
      </c>
      <c r="E970" s="196" t="s">
        <v>319</v>
      </c>
      <c r="F970" s="195" t="s">
        <v>408</v>
      </c>
      <c r="G970" s="195" t="s">
        <v>688</v>
      </c>
    </row>
    <row r="971" spans="1:7">
      <c r="A971" s="194" t="s">
        <v>495</v>
      </c>
      <c r="B971" s="195">
        <v>-10</v>
      </c>
      <c r="C971" s="195">
        <v>0</v>
      </c>
      <c r="D971" s="196" t="s">
        <v>282</v>
      </c>
      <c r="E971" s="196" t="s">
        <v>319</v>
      </c>
      <c r="F971" s="195" t="s">
        <v>393</v>
      </c>
      <c r="G971" s="195" t="s">
        <v>688</v>
      </c>
    </row>
    <row r="972" spans="1:7">
      <c r="A972" s="194" t="s">
        <v>496</v>
      </c>
      <c r="B972" s="195">
        <v>7</v>
      </c>
      <c r="C972" s="195">
        <v>0</v>
      </c>
      <c r="D972" s="196" t="s">
        <v>282</v>
      </c>
      <c r="E972" s="196" t="s">
        <v>319</v>
      </c>
      <c r="F972" s="195" t="s">
        <v>394</v>
      </c>
      <c r="G972" s="195" t="s">
        <v>688</v>
      </c>
    </row>
    <row r="973" spans="1:7">
      <c r="A973" s="194" t="s">
        <v>496</v>
      </c>
      <c r="B973" s="195">
        <v>-7</v>
      </c>
      <c r="C973" s="195">
        <v>0</v>
      </c>
      <c r="D973" s="196" t="s">
        <v>282</v>
      </c>
      <c r="E973" s="196" t="s">
        <v>319</v>
      </c>
      <c r="F973" s="195" t="s">
        <v>408</v>
      </c>
      <c r="G973" s="195" t="s">
        <v>688</v>
      </c>
    </row>
    <row r="974" spans="1:7">
      <c r="A974" s="194" t="s">
        <v>497</v>
      </c>
      <c r="B974" s="195">
        <v>-13</v>
      </c>
      <c r="C974" s="195">
        <v>0</v>
      </c>
      <c r="D974" s="196" t="s">
        <v>282</v>
      </c>
      <c r="E974" s="196" t="s">
        <v>319</v>
      </c>
      <c r="F974" s="195" t="s">
        <v>394</v>
      </c>
      <c r="G974" s="195" t="s">
        <v>688</v>
      </c>
    </row>
    <row r="975" spans="1:7">
      <c r="A975" s="194" t="s">
        <v>497</v>
      </c>
      <c r="B975" s="195">
        <v>-16</v>
      </c>
      <c r="C975" s="195">
        <v>0</v>
      </c>
      <c r="D975" s="196" t="s">
        <v>282</v>
      </c>
      <c r="E975" s="196" t="s">
        <v>319</v>
      </c>
      <c r="F975" s="195" t="s">
        <v>408</v>
      </c>
      <c r="G975" s="195" t="s">
        <v>688</v>
      </c>
    </row>
    <row r="976" spans="1:7">
      <c r="A976" s="194" t="s">
        <v>497</v>
      </c>
      <c r="B976" s="195">
        <v>29</v>
      </c>
      <c r="C976" s="195">
        <v>0</v>
      </c>
      <c r="D976" s="196" t="s">
        <v>282</v>
      </c>
      <c r="E976" s="196" t="s">
        <v>319</v>
      </c>
      <c r="F976" s="195" t="s">
        <v>393</v>
      </c>
      <c r="G976" s="195" t="s">
        <v>688</v>
      </c>
    </row>
    <row r="977" spans="1:7">
      <c r="A977" s="194" t="s">
        <v>498</v>
      </c>
      <c r="B977" s="195">
        <v>-7</v>
      </c>
      <c r="C977" s="195">
        <v>0</v>
      </c>
      <c r="D977" s="196" t="s">
        <v>282</v>
      </c>
      <c r="E977" s="196" t="s">
        <v>319</v>
      </c>
      <c r="F977" s="195" t="s">
        <v>394</v>
      </c>
      <c r="G977" s="195" t="s">
        <v>688</v>
      </c>
    </row>
    <row r="978" spans="1:7">
      <c r="A978" s="194" t="s">
        <v>498</v>
      </c>
      <c r="B978" s="195">
        <v>7</v>
      </c>
      <c r="C978" s="195">
        <v>0</v>
      </c>
      <c r="D978" s="196" t="s">
        <v>282</v>
      </c>
      <c r="E978" s="196" t="s">
        <v>319</v>
      </c>
      <c r="F978" s="195" t="s">
        <v>408</v>
      </c>
      <c r="G978" s="195" t="s">
        <v>688</v>
      </c>
    </row>
    <row r="979" spans="1:7">
      <c r="A979" s="194" t="s">
        <v>499</v>
      </c>
      <c r="B979" s="195">
        <v>65</v>
      </c>
      <c r="C979" s="195">
        <v>0</v>
      </c>
      <c r="D979" s="196" t="s">
        <v>282</v>
      </c>
      <c r="E979" s="196" t="s">
        <v>317</v>
      </c>
      <c r="F979" s="195" t="s">
        <v>394</v>
      </c>
      <c r="G979" s="195" t="s">
        <v>688</v>
      </c>
    </row>
    <row r="980" spans="1:7">
      <c r="A980" s="194" t="s">
        <v>499</v>
      </c>
      <c r="B980" s="195">
        <v>-817</v>
      </c>
      <c r="C980" s="195">
        <v>0</v>
      </c>
      <c r="D980" s="196" t="s">
        <v>282</v>
      </c>
      <c r="E980" s="196" t="s">
        <v>317</v>
      </c>
      <c r="F980" s="195" t="s">
        <v>445</v>
      </c>
      <c r="G980" s="195" t="s">
        <v>688</v>
      </c>
    </row>
    <row r="981" spans="1:7">
      <c r="A981" s="194" t="s">
        <v>499</v>
      </c>
      <c r="B981" s="195">
        <v>282</v>
      </c>
      <c r="C981" s="195">
        <v>0</v>
      </c>
      <c r="D981" s="196" t="s">
        <v>282</v>
      </c>
      <c r="E981" s="196" t="s">
        <v>317</v>
      </c>
      <c r="F981" s="195" t="s">
        <v>397</v>
      </c>
      <c r="G981" s="195" t="s">
        <v>688</v>
      </c>
    </row>
    <row r="982" spans="1:7">
      <c r="A982" s="194" t="s">
        <v>499</v>
      </c>
      <c r="B982" s="195">
        <v>470</v>
      </c>
      <c r="C982" s="195">
        <v>0</v>
      </c>
      <c r="D982" s="196" t="s">
        <v>282</v>
      </c>
      <c r="E982" s="196" t="s">
        <v>317</v>
      </c>
      <c r="F982" s="195" t="s">
        <v>393</v>
      </c>
      <c r="G982" s="195" t="s">
        <v>688</v>
      </c>
    </row>
    <row r="983" spans="1:7">
      <c r="A983" s="194" t="s">
        <v>500</v>
      </c>
      <c r="B983" s="195">
        <v>539</v>
      </c>
      <c r="C983" s="195">
        <v>0</v>
      </c>
      <c r="D983" s="196" t="s">
        <v>282</v>
      </c>
      <c r="E983" s="196" t="s">
        <v>317</v>
      </c>
      <c r="F983" s="195" t="s">
        <v>445</v>
      </c>
      <c r="G983" s="195" t="s">
        <v>688</v>
      </c>
    </row>
    <row r="984" spans="1:7">
      <c r="A984" s="194" t="s">
        <v>500</v>
      </c>
      <c r="B984" s="195">
        <v>-539</v>
      </c>
      <c r="C984" s="195">
        <v>0</v>
      </c>
      <c r="D984" s="196" t="s">
        <v>282</v>
      </c>
      <c r="E984" s="196" t="s">
        <v>317</v>
      </c>
      <c r="F984" s="195" t="s">
        <v>393</v>
      </c>
      <c r="G984" s="195" t="s">
        <v>688</v>
      </c>
    </row>
    <row r="985" spans="1:7">
      <c r="A985" s="194" t="s">
        <v>501</v>
      </c>
      <c r="B985" s="195">
        <v>-243</v>
      </c>
      <c r="C985" s="195">
        <v>0</v>
      </c>
      <c r="D985" s="196" t="s">
        <v>282</v>
      </c>
      <c r="E985" s="196" t="s">
        <v>317</v>
      </c>
      <c r="F985" s="195" t="s">
        <v>394</v>
      </c>
      <c r="G985" s="195" t="s">
        <v>688</v>
      </c>
    </row>
    <row r="986" spans="1:7">
      <c r="A986" s="194" t="s">
        <v>501</v>
      </c>
      <c r="B986" s="195">
        <v>-8</v>
      </c>
      <c r="C986" s="195">
        <v>0</v>
      </c>
      <c r="D986" s="196" t="s">
        <v>282</v>
      </c>
      <c r="E986" s="196" t="s">
        <v>317</v>
      </c>
      <c r="F986" s="195" t="s">
        <v>393</v>
      </c>
      <c r="G986" s="195" t="s">
        <v>688</v>
      </c>
    </row>
    <row r="987" spans="1:7">
      <c r="A987" s="194" t="s">
        <v>501</v>
      </c>
      <c r="B987" s="195">
        <v>251</v>
      </c>
      <c r="C987" s="195">
        <v>0</v>
      </c>
      <c r="D987" s="196" t="s">
        <v>282</v>
      </c>
      <c r="E987" s="196" t="s">
        <v>317</v>
      </c>
      <c r="F987" s="195" t="s">
        <v>403</v>
      </c>
      <c r="G987" s="195" t="s">
        <v>688</v>
      </c>
    </row>
    <row r="988" spans="1:7" hidden="1">
      <c r="A988" s="194" t="s">
        <v>502</v>
      </c>
      <c r="B988" s="195">
        <v>1230</v>
      </c>
      <c r="C988" s="195">
        <v>0</v>
      </c>
      <c r="D988" s="196" t="s">
        <v>442</v>
      </c>
      <c r="E988" s="196" t="s">
        <v>320</v>
      </c>
      <c r="F988" s="195" t="s">
        <v>394</v>
      </c>
      <c r="G988" s="195" t="s">
        <v>688</v>
      </c>
    </row>
    <row r="989" spans="1:7" hidden="1">
      <c r="A989" s="194" t="s">
        <v>148</v>
      </c>
      <c r="B989" s="195">
        <v>-1655</v>
      </c>
      <c r="C989" s="195">
        <v>0</v>
      </c>
      <c r="D989" s="196" t="s">
        <v>283</v>
      </c>
      <c r="E989" s="196" t="s">
        <v>320</v>
      </c>
      <c r="F989" s="195" t="s">
        <v>394</v>
      </c>
      <c r="G989" s="195" t="s">
        <v>688</v>
      </c>
    </row>
    <row r="990" spans="1:7" hidden="1">
      <c r="A990" s="194" t="s">
        <v>148</v>
      </c>
      <c r="B990" s="195">
        <v>744</v>
      </c>
      <c r="C990" s="195">
        <v>0</v>
      </c>
      <c r="D990" s="196" t="s">
        <v>283</v>
      </c>
      <c r="E990" s="196" t="s">
        <v>320</v>
      </c>
      <c r="F990" s="195" t="s">
        <v>413</v>
      </c>
      <c r="G990" s="195" t="s">
        <v>688</v>
      </c>
    </row>
    <row r="991" spans="1:7" hidden="1">
      <c r="A991" s="194" t="s">
        <v>148</v>
      </c>
      <c r="B991" s="195">
        <v>911</v>
      </c>
      <c r="C991" s="195">
        <v>0</v>
      </c>
      <c r="D991" s="196" t="s">
        <v>283</v>
      </c>
      <c r="E991" s="196" t="s">
        <v>320</v>
      </c>
      <c r="F991" s="195" t="s">
        <v>441</v>
      </c>
      <c r="G991" s="195" t="s">
        <v>688</v>
      </c>
    </row>
    <row r="992" spans="1:7">
      <c r="A992" s="194" t="s">
        <v>148</v>
      </c>
      <c r="B992" s="195">
        <v>188</v>
      </c>
      <c r="C992" s="195">
        <v>0</v>
      </c>
      <c r="D992" s="196" t="s">
        <v>282</v>
      </c>
      <c r="E992" s="196" t="s">
        <v>320</v>
      </c>
      <c r="F992" s="195" t="s">
        <v>394</v>
      </c>
      <c r="G992" s="195" t="s">
        <v>688</v>
      </c>
    </row>
    <row r="993" spans="1:7">
      <c r="A993" s="194" t="s">
        <v>148</v>
      </c>
      <c r="B993" s="195">
        <v>723</v>
      </c>
      <c r="C993" s="195">
        <v>0</v>
      </c>
      <c r="D993" s="196" t="s">
        <v>282</v>
      </c>
      <c r="E993" s="196" t="s">
        <v>320</v>
      </c>
      <c r="F993" s="195" t="s">
        <v>413</v>
      </c>
      <c r="G993" s="195" t="s">
        <v>688</v>
      </c>
    </row>
    <row r="994" spans="1:7">
      <c r="A994" s="194" t="s">
        <v>148</v>
      </c>
      <c r="B994" s="195">
        <v>-911</v>
      </c>
      <c r="C994" s="195">
        <v>0</v>
      </c>
      <c r="D994" s="196" t="s">
        <v>282</v>
      </c>
      <c r="E994" s="196" t="s">
        <v>320</v>
      </c>
      <c r="F994" s="195" t="s">
        <v>441</v>
      </c>
      <c r="G994" s="195" t="s">
        <v>688</v>
      </c>
    </row>
    <row r="995" spans="1:7" hidden="1">
      <c r="A995" s="194" t="s">
        <v>694</v>
      </c>
      <c r="B995" s="195">
        <v>-98400</v>
      </c>
      <c r="C995" s="195">
        <v>0</v>
      </c>
      <c r="D995" s="196" t="s">
        <v>440</v>
      </c>
      <c r="E995" s="196" t="s">
        <v>692</v>
      </c>
      <c r="F995" s="195" t="s">
        <v>409</v>
      </c>
      <c r="G995" s="195" t="s">
        <v>688</v>
      </c>
    </row>
    <row r="996" spans="1:7" hidden="1">
      <c r="A996" s="194" t="s">
        <v>695</v>
      </c>
      <c r="B996" s="195">
        <v>98400</v>
      </c>
      <c r="C996" s="195">
        <v>0</v>
      </c>
      <c r="D996" s="196" t="s">
        <v>440</v>
      </c>
      <c r="E996" s="196" t="s">
        <v>692</v>
      </c>
      <c r="F996" s="195" t="s">
        <v>409</v>
      </c>
      <c r="G996" s="195" t="s">
        <v>688</v>
      </c>
    </row>
    <row r="997" spans="1:7" hidden="1">
      <c r="A997" s="194" t="s">
        <v>503</v>
      </c>
      <c r="B997" s="195">
        <v>434</v>
      </c>
      <c r="C997" s="195">
        <v>0</v>
      </c>
      <c r="D997" s="196" t="s">
        <v>442</v>
      </c>
      <c r="E997" s="196" t="s">
        <v>320</v>
      </c>
      <c r="F997" s="195" t="s">
        <v>394</v>
      </c>
      <c r="G997" s="195" t="s">
        <v>688</v>
      </c>
    </row>
    <row r="998" spans="1:7" hidden="1">
      <c r="A998" s="194" t="s">
        <v>503</v>
      </c>
      <c r="B998" s="195">
        <v>-371</v>
      </c>
      <c r="C998" s="195">
        <v>0</v>
      </c>
      <c r="D998" s="196" t="s">
        <v>442</v>
      </c>
      <c r="E998" s="196" t="s">
        <v>320</v>
      </c>
      <c r="F998" s="195" t="s">
        <v>409</v>
      </c>
      <c r="G998" s="195" t="s">
        <v>688</v>
      </c>
    </row>
    <row r="999" spans="1:7" hidden="1">
      <c r="A999" s="194" t="s">
        <v>504</v>
      </c>
      <c r="B999" s="195">
        <v>-710</v>
      </c>
      <c r="C999" s="195">
        <v>0</v>
      </c>
      <c r="D999" s="196" t="s">
        <v>440</v>
      </c>
      <c r="E999" s="196" t="s">
        <v>439</v>
      </c>
      <c r="F999" s="195" t="s">
        <v>394</v>
      </c>
      <c r="G999" s="195" t="s">
        <v>688</v>
      </c>
    </row>
    <row r="1000" spans="1:7" hidden="1">
      <c r="A1000" s="194" t="s">
        <v>505</v>
      </c>
      <c r="B1000" s="195">
        <v>1106</v>
      </c>
      <c r="C1000" s="195">
        <v>0</v>
      </c>
      <c r="D1000" s="196" t="s">
        <v>283</v>
      </c>
      <c r="E1000" s="196" t="s">
        <v>320</v>
      </c>
      <c r="F1000" s="195" t="s">
        <v>394</v>
      </c>
      <c r="G1000" s="195" t="s">
        <v>688</v>
      </c>
    </row>
    <row r="1001" spans="1:7" hidden="1">
      <c r="A1001" s="194" t="s">
        <v>505</v>
      </c>
      <c r="B1001" s="195">
        <v>-1106</v>
      </c>
      <c r="C1001" s="195">
        <v>0</v>
      </c>
      <c r="D1001" s="196" t="s">
        <v>283</v>
      </c>
      <c r="E1001" s="196" t="s">
        <v>320</v>
      </c>
      <c r="F1001" s="195" t="s">
        <v>441</v>
      </c>
      <c r="G1001" s="195" t="s">
        <v>688</v>
      </c>
    </row>
    <row r="1002" spans="1:7">
      <c r="A1002" s="194" t="s">
        <v>505</v>
      </c>
      <c r="B1002" s="195">
        <v>-3207</v>
      </c>
      <c r="C1002" s="195">
        <v>0</v>
      </c>
      <c r="D1002" s="196" t="s">
        <v>282</v>
      </c>
      <c r="E1002" s="196" t="s">
        <v>320</v>
      </c>
      <c r="F1002" s="195" t="s">
        <v>394</v>
      </c>
      <c r="G1002" s="195" t="s">
        <v>688</v>
      </c>
    </row>
    <row r="1003" spans="1:7">
      <c r="A1003" s="194" t="s">
        <v>505</v>
      </c>
      <c r="B1003" s="195">
        <v>2101</v>
      </c>
      <c r="C1003" s="195">
        <v>0</v>
      </c>
      <c r="D1003" s="196" t="s">
        <v>282</v>
      </c>
      <c r="E1003" s="196" t="s">
        <v>320</v>
      </c>
      <c r="F1003" s="195" t="s">
        <v>393</v>
      </c>
      <c r="G1003" s="195" t="s">
        <v>688</v>
      </c>
    </row>
    <row r="1004" spans="1:7">
      <c r="A1004" s="194" t="s">
        <v>505</v>
      </c>
      <c r="B1004" s="195">
        <v>1106</v>
      </c>
      <c r="C1004" s="195">
        <v>0</v>
      </c>
      <c r="D1004" s="196" t="s">
        <v>282</v>
      </c>
      <c r="E1004" s="196" t="s">
        <v>320</v>
      </c>
      <c r="F1004" s="195" t="s">
        <v>441</v>
      </c>
      <c r="G1004" s="195" t="s">
        <v>688</v>
      </c>
    </row>
    <row r="1005" spans="1:7">
      <c r="A1005" s="194" t="s">
        <v>506</v>
      </c>
      <c r="B1005" s="195">
        <v>-234</v>
      </c>
      <c r="C1005" s="195">
        <v>0</v>
      </c>
      <c r="D1005" s="196" t="s">
        <v>282</v>
      </c>
      <c r="E1005" s="196" t="s">
        <v>317</v>
      </c>
      <c r="F1005" s="195" t="s">
        <v>394</v>
      </c>
      <c r="G1005" s="195" t="s">
        <v>688</v>
      </c>
    </row>
    <row r="1006" spans="1:7">
      <c r="A1006" s="194" t="s">
        <v>506</v>
      </c>
      <c r="B1006" s="195">
        <v>80</v>
      </c>
      <c r="C1006" s="195">
        <v>0</v>
      </c>
      <c r="D1006" s="196" t="s">
        <v>282</v>
      </c>
      <c r="E1006" s="196" t="s">
        <v>317</v>
      </c>
      <c r="F1006" s="195" t="s">
        <v>445</v>
      </c>
      <c r="G1006" s="195" t="s">
        <v>688</v>
      </c>
    </row>
    <row r="1007" spans="1:7">
      <c r="A1007" s="194" t="s">
        <v>506</v>
      </c>
      <c r="B1007" s="195">
        <v>154</v>
      </c>
      <c r="C1007" s="195">
        <v>0</v>
      </c>
      <c r="D1007" s="196" t="s">
        <v>282</v>
      </c>
      <c r="E1007" s="196" t="s">
        <v>317</v>
      </c>
      <c r="F1007" s="195" t="s">
        <v>403</v>
      </c>
      <c r="G1007" s="195" t="s">
        <v>688</v>
      </c>
    </row>
    <row r="1008" spans="1:7" hidden="1">
      <c r="A1008" s="194" t="s">
        <v>507</v>
      </c>
      <c r="B1008" s="195">
        <v>1521</v>
      </c>
      <c r="C1008" s="195">
        <v>0</v>
      </c>
      <c r="D1008" s="196" t="s">
        <v>442</v>
      </c>
      <c r="E1008" s="196" t="s">
        <v>39</v>
      </c>
      <c r="F1008" s="195" t="s">
        <v>394</v>
      </c>
      <c r="G1008" s="195" t="s">
        <v>688</v>
      </c>
    </row>
    <row r="1009" spans="1:7" hidden="1">
      <c r="A1009" s="194" t="s">
        <v>358</v>
      </c>
      <c r="B1009" s="195">
        <v>6</v>
      </c>
      <c r="C1009" s="195">
        <v>0</v>
      </c>
      <c r="D1009" s="196" t="s">
        <v>283</v>
      </c>
      <c r="E1009" s="196" t="s">
        <v>322</v>
      </c>
      <c r="F1009" s="195" t="s">
        <v>394</v>
      </c>
      <c r="G1009" s="195" t="s">
        <v>688</v>
      </c>
    </row>
    <row r="1010" spans="1:7" hidden="1">
      <c r="A1010" s="194" t="s">
        <v>358</v>
      </c>
      <c r="B1010" s="195">
        <v>-6</v>
      </c>
      <c r="C1010" s="195">
        <v>0</v>
      </c>
      <c r="D1010" s="196" t="s">
        <v>283</v>
      </c>
      <c r="E1010" s="196" t="s">
        <v>322</v>
      </c>
      <c r="F1010" s="195" t="s">
        <v>409</v>
      </c>
      <c r="G1010" s="195" t="s">
        <v>688</v>
      </c>
    </row>
    <row r="1011" spans="1:7" hidden="1">
      <c r="A1011" s="194" t="s">
        <v>358</v>
      </c>
      <c r="B1011" s="195">
        <v>-1</v>
      </c>
      <c r="C1011" s="195">
        <v>0</v>
      </c>
      <c r="D1011" s="196" t="s">
        <v>437</v>
      </c>
      <c r="E1011" s="196" t="s">
        <v>322</v>
      </c>
      <c r="F1011" s="195" t="s">
        <v>394</v>
      </c>
      <c r="G1011" s="195" t="s">
        <v>688</v>
      </c>
    </row>
    <row r="1012" spans="1:7" hidden="1">
      <c r="A1012" s="194" t="s">
        <v>508</v>
      </c>
      <c r="B1012" s="195">
        <v>-5</v>
      </c>
      <c r="C1012" s="195">
        <v>0</v>
      </c>
      <c r="D1012" s="196" t="s">
        <v>283</v>
      </c>
      <c r="E1012" s="196" t="s">
        <v>315</v>
      </c>
      <c r="F1012" s="195" t="s">
        <v>394</v>
      </c>
      <c r="G1012" s="195" t="s">
        <v>688</v>
      </c>
    </row>
    <row r="1013" spans="1:7" hidden="1">
      <c r="A1013" s="194" t="s">
        <v>508</v>
      </c>
      <c r="B1013" s="195">
        <v>-7</v>
      </c>
      <c r="C1013" s="195">
        <v>0</v>
      </c>
      <c r="D1013" s="196" t="s">
        <v>437</v>
      </c>
      <c r="E1013" s="196" t="s">
        <v>315</v>
      </c>
      <c r="F1013" s="195" t="s">
        <v>394</v>
      </c>
      <c r="G1013" s="195" t="s">
        <v>688</v>
      </c>
    </row>
    <row r="1014" spans="1:7">
      <c r="A1014" s="194" t="s">
        <v>508</v>
      </c>
      <c r="B1014" s="195">
        <v>-5</v>
      </c>
      <c r="C1014" s="195">
        <v>0</v>
      </c>
      <c r="D1014" s="196" t="s">
        <v>282</v>
      </c>
      <c r="E1014" s="196" t="s">
        <v>315</v>
      </c>
      <c r="F1014" s="195" t="s">
        <v>394</v>
      </c>
      <c r="G1014" s="195" t="s">
        <v>688</v>
      </c>
    </row>
    <row r="1015" spans="1:7" hidden="1">
      <c r="A1015" s="194" t="s">
        <v>509</v>
      </c>
      <c r="B1015" s="195">
        <v>5</v>
      </c>
      <c r="C1015" s="195">
        <v>0</v>
      </c>
      <c r="D1015" s="196" t="s">
        <v>283</v>
      </c>
      <c r="E1015" s="196" t="s">
        <v>315</v>
      </c>
      <c r="F1015" s="195" t="s">
        <v>394</v>
      </c>
      <c r="G1015" s="195" t="s">
        <v>688</v>
      </c>
    </row>
    <row r="1016" spans="1:7" hidden="1">
      <c r="A1016" s="194" t="s">
        <v>509</v>
      </c>
      <c r="B1016" s="195">
        <v>7</v>
      </c>
      <c r="C1016" s="195">
        <v>0</v>
      </c>
      <c r="D1016" s="196" t="s">
        <v>437</v>
      </c>
      <c r="E1016" s="196" t="s">
        <v>315</v>
      </c>
      <c r="F1016" s="195" t="s">
        <v>394</v>
      </c>
      <c r="G1016" s="195" t="s">
        <v>688</v>
      </c>
    </row>
    <row r="1017" spans="1:7">
      <c r="A1017" s="194" t="s">
        <v>509</v>
      </c>
      <c r="B1017" s="195">
        <v>5</v>
      </c>
      <c r="C1017" s="195">
        <v>0</v>
      </c>
      <c r="D1017" s="196" t="s">
        <v>282</v>
      </c>
      <c r="E1017" s="196" t="s">
        <v>315</v>
      </c>
      <c r="F1017" s="195" t="s">
        <v>394</v>
      </c>
      <c r="G1017" s="195" t="s">
        <v>688</v>
      </c>
    </row>
    <row r="1018" spans="1:7" hidden="1">
      <c r="A1018" s="194" t="s">
        <v>510</v>
      </c>
      <c r="B1018" s="195">
        <v>1647</v>
      </c>
      <c r="C1018" s="195">
        <v>0</v>
      </c>
      <c r="D1018" s="196" t="s">
        <v>283</v>
      </c>
      <c r="E1018" s="196" t="s">
        <v>320</v>
      </c>
      <c r="F1018" s="195" t="s">
        <v>394</v>
      </c>
      <c r="G1018" s="195" t="s">
        <v>688</v>
      </c>
    </row>
    <row r="1019" spans="1:7">
      <c r="A1019" s="194" t="s">
        <v>510</v>
      </c>
      <c r="B1019" s="195">
        <v>-1647</v>
      </c>
      <c r="C1019" s="195">
        <v>0</v>
      </c>
      <c r="D1019" s="196" t="s">
        <v>282</v>
      </c>
      <c r="E1019" s="196" t="s">
        <v>320</v>
      </c>
      <c r="F1019" s="195" t="s">
        <v>394</v>
      </c>
      <c r="G1019" s="195" t="s">
        <v>688</v>
      </c>
    </row>
    <row r="1020" spans="1:7">
      <c r="A1020" s="194" t="s">
        <v>510</v>
      </c>
      <c r="B1020" s="195">
        <v>3294</v>
      </c>
      <c r="C1020" s="195">
        <v>0</v>
      </c>
      <c r="D1020" s="196" t="s">
        <v>282</v>
      </c>
      <c r="E1020" s="196" t="s">
        <v>320</v>
      </c>
      <c r="F1020" s="195" t="s">
        <v>393</v>
      </c>
      <c r="G1020" s="195" t="s">
        <v>688</v>
      </c>
    </row>
    <row r="1021" spans="1:7" hidden="1">
      <c r="A1021" s="194" t="s">
        <v>511</v>
      </c>
      <c r="B1021" s="195">
        <v>15</v>
      </c>
      <c r="C1021" s="195">
        <v>0</v>
      </c>
      <c r="D1021" s="196" t="s">
        <v>283</v>
      </c>
      <c r="E1021" s="196" t="s">
        <v>324</v>
      </c>
      <c r="F1021" s="195" t="s">
        <v>394</v>
      </c>
      <c r="G1021" s="195" t="s">
        <v>688</v>
      </c>
    </row>
    <row r="1022" spans="1:7">
      <c r="A1022" s="194" t="s">
        <v>511</v>
      </c>
      <c r="B1022" s="195">
        <v>-15</v>
      </c>
      <c r="C1022" s="195">
        <v>0</v>
      </c>
      <c r="D1022" s="196" t="s">
        <v>282</v>
      </c>
      <c r="E1022" s="196" t="s">
        <v>324</v>
      </c>
      <c r="F1022" s="195" t="s">
        <v>394</v>
      </c>
      <c r="G1022" s="195" t="s">
        <v>688</v>
      </c>
    </row>
    <row r="1023" spans="1:7">
      <c r="A1023" s="194" t="s">
        <v>511</v>
      </c>
      <c r="B1023" s="195">
        <v>29</v>
      </c>
      <c r="C1023" s="195">
        <v>0</v>
      </c>
      <c r="D1023" s="196" t="s">
        <v>282</v>
      </c>
      <c r="E1023" s="196" t="s">
        <v>324</v>
      </c>
      <c r="F1023" s="195" t="s">
        <v>408</v>
      </c>
      <c r="G1023" s="195" t="s">
        <v>688</v>
      </c>
    </row>
    <row r="1024" spans="1:7" hidden="1">
      <c r="A1024" s="194" t="s">
        <v>512</v>
      </c>
      <c r="B1024" s="195">
        <v>37</v>
      </c>
      <c r="C1024" s="195">
        <v>0</v>
      </c>
      <c r="D1024" s="196" t="s">
        <v>283</v>
      </c>
      <c r="E1024" s="196" t="s">
        <v>324</v>
      </c>
      <c r="F1024" s="195" t="s">
        <v>394</v>
      </c>
      <c r="G1024" s="195" t="s">
        <v>688</v>
      </c>
    </row>
    <row r="1025" spans="1:7">
      <c r="A1025" s="194" t="s">
        <v>512</v>
      </c>
      <c r="B1025" s="195">
        <v>-37</v>
      </c>
      <c r="C1025" s="195">
        <v>0</v>
      </c>
      <c r="D1025" s="196" t="s">
        <v>282</v>
      </c>
      <c r="E1025" s="196" t="s">
        <v>324</v>
      </c>
      <c r="F1025" s="195" t="s">
        <v>394</v>
      </c>
      <c r="G1025" s="195" t="s">
        <v>688</v>
      </c>
    </row>
    <row r="1026" spans="1:7">
      <c r="A1026" s="194" t="s">
        <v>512</v>
      </c>
      <c r="B1026" s="195">
        <v>73</v>
      </c>
      <c r="C1026" s="195">
        <v>0</v>
      </c>
      <c r="D1026" s="196" t="s">
        <v>282</v>
      </c>
      <c r="E1026" s="196" t="s">
        <v>324</v>
      </c>
      <c r="F1026" s="195" t="s">
        <v>408</v>
      </c>
      <c r="G1026" s="195" t="s">
        <v>688</v>
      </c>
    </row>
    <row r="1027" spans="1:7">
      <c r="A1027" s="194" t="s">
        <v>513</v>
      </c>
      <c r="B1027" s="195">
        <v>-1008</v>
      </c>
      <c r="C1027" s="195">
        <v>0</v>
      </c>
      <c r="D1027" s="196" t="s">
        <v>282</v>
      </c>
      <c r="E1027" s="196" t="s">
        <v>320</v>
      </c>
      <c r="F1027" s="195" t="s">
        <v>394</v>
      </c>
      <c r="G1027" s="195" t="s">
        <v>688</v>
      </c>
    </row>
    <row r="1028" spans="1:7">
      <c r="A1028" s="194" t="s">
        <v>513</v>
      </c>
      <c r="B1028" s="195">
        <v>5440</v>
      </c>
      <c r="C1028" s="195">
        <v>0</v>
      </c>
      <c r="D1028" s="196" t="s">
        <v>282</v>
      </c>
      <c r="E1028" s="196" t="s">
        <v>320</v>
      </c>
      <c r="F1028" s="195" t="s">
        <v>445</v>
      </c>
      <c r="G1028" s="195" t="s">
        <v>688</v>
      </c>
    </row>
    <row r="1029" spans="1:7">
      <c r="A1029" s="194" t="s">
        <v>513</v>
      </c>
      <c r="B1029" s="195">
        <v>-4432</v>
      </c>
      <c r="C1029" s="195">
        <v>0</v>
      </c>
      <c r="D1029" s="196" t="s">
        <v>282</v>
      </c>
      <c r="E1029" s="196" t="s">
        <v>320</v>
      </c>
      <c r="F1029" s="195" t="s">
        <v>393</v>
      </c>
      <c r="G1029" s="195" t="s">
        <v>688</v>
      </c>
    </row>
    <row r="1030" spans="1:7" hidden="1">
      <c r="A1030" s="194" t="s">
        <v>514</v>
      </c>
      <c r="B1030" s="195">
        <v>-152541</v>
      </c>
      <c r="C1030" s="195">
        <v>0</v>
      </c>
      <c r="D1030" s="196" t="s">
        <v>440</v>
      </c>
      <c r="E1030" s="196" t="s">
        <v>320</v>
      </c>
      <c r="F1030" s="195" t="s">
        <v>394</v>
      </c>
      <c r="G1030" s="195" t="s">
        <v>688</v>
      </c>
    </row>
    <row r="1031" spans="1:7" hidden="1">
      <c r="A1031" s="194" t="s">
        <v>514</v>
      </c>
      <c r="B1031" s="195">
        <v>-5213</v>
      </c>
      <c r="C1031" s="195">
        <v>0</v>
      </c>
      <c r="D1031" s="196" t="s">
        <v>442</v>
      </c>
      <c r="E1031" s="196" t="s">
        <v>320</v>
      </c>
      <c r="F1031" s="195" t="s">
        <v>394</v>
      </c>
      <c r="G1031" s="195" t="s">
        <v>688</v>
      </c>
    </row>
    <row r="1032" spans="1:7">
      <c r="A1032" s="194" t="s">
        <v>149</v>
      </c>
      <c r="B1032" s="195">
        <v>-6075</v>
      </c>
      <c r="C1032" s="195">
        <v>0</v>
      </c>
      <c r="D1032" s="196" t="s">
        <v>282</v>
      </c>
      <c r="E1032" s="196" t="s">
        <v>320</v>
      </c>
      <c r="F1032" s="195" t="s">
        <v>394</v>
      </c>
      <c r="G1032" s="195" t="s">
        <v>688</v>
      </c>
    </row>
    <row r="1033" spans="1:7">
      <c r="A1033" s="194" t="s">
        <v>149</v>
      </c>
      <c r="B1033" s="195">
        <v>1663</v>
      </c>
      <c r="C1033" s="195">
        <v>0</v>
      </c>
      <c r="D1033" s="196" t="s">
        <v>282</v>
      </c>
      <c r="E1033" s="196" t="s">
        <v>320</v>
      </c>
      <c r="F1033" s="195" t="s">
        <v>445</v>
      </c>
      <c r="G1033" s="195" t="s">
        <v>688</v>
      </c>
    </row>
    <row r="1034" spans="1:7">
      <c r="A1034" s="194" t="s">
        <v>149</v>
      </c>
      <c r="B1034" s="195">
        <v>2558</v>
      </c>
      <c r="C1034" s="195">
        <v>0</v>
      </c>
      <c r="D1034" s="196" t="s">
        <v>282</v>
      </c>
      <c r="E1034" s="196" t="s">
        <v>320</v>
      </c>
      <c r="F1034" s="195" t="s">
        <v>393</v>
      </c>
      <c r="G1034" s="195" t="s">
        <v>688</v>
      </c>
    </row>
    <row r="1035" spans="1:7">
      <c r="A1035" s="194" t="s">
        <v>149</v>
      </c>
      <c r="B1035" s="195">
        <v>1854</v>
      </c>
      <c r="C1035" s="195">
        <v>0</v>
      </c>
      <c r="D1035" s="196" t="s">
        <v>282</v>
      </c>
      <c r="E1035" s="196" t="s">
        <v>320</v>
      </c>
      <c r="F1035" s="195" t="s">
        <v>403</v>
      </c>
      <c r="G1035" s="195" t="s">
        <v>688</v>
      </c>
    </row>
    <row r="1036" spans="1:7">
      <c r="A1036" s="194" t="s">
        <v>515</v>
      </c>
      <c r="B1036" s="195">
        <v>-26</v>
      </c>
      <c r="C1036" s="195">
        <v>0</v>
      </c>
      <c r="D1036" s="196" t="s">
        <v>282</v>
      </c>
      <c r="E1036" s="196" t="s">
        <v>324</v>
      </c>
      <c r="F1036" s="195" t="s">
        <v>394</v>
      </c>
      <c r="G1036" s="195" t="s">
        <v>688</v>
      </c>
    </row>
    <row r="1037" spans="1:7">
      <c r="A1037" s="194" t="s">
        <v>515</v>
      </c>
      <c r="B1037" s="195">
        <v>26</v>
      </c>
      <c r="C1037" s="195">
        <v>0</v>
      </c>
      <c r="D1037" s="196" t="s">
        <v>282</v>
      </c>
      <c r="E1037" s="196" t="s">
        <v>324</v>
      </c>
      <c r="F1037" s="195" t="s">
        <v>408</v>
      </c>
      <c r="G1037" s="195" t="s">
        <v>688</v>
      </c>
    </row>
    <row r="1038" spans="1:7" hidden="1">
      <c r="A1038" s="194" t="s">
        <v>45</v>
      </c>
      <c r="B1038" s="195">
        <v>4140</v>
      </c>
      <c r="C1038" s="195">
        <v>0</v>
      </c>
      <c r="D1038" s="196" t="s">
        <v>437</v>
      </c>
      <c r="E1038" s="196" t="s">
        <v>320</v>
      </c>
      <c r="F1038" s="195" t="s">
        <v>394</v>
      </c>
      <c r="G1038" s="195" t="s">
        <v>688</v>
      </c>
    </row>
    <row r="1039" spans="1:7" hidden="1">
      <c r="A1039" s="194" t="s">
        <v>45</v>
      </c>
      <c r="B1039" s="195">
        <v>-4140</v>
      </c>
      <c r="C1039" s="195">
        <v>0</v>
      </c>
      <c r="D1039" s="196" t="s">
        <v>437</v>
      </c>
      <c r="E1039" s="196" t="s">
        <v>320</v>
      </c>
      <c r="F1039" s="195" t="s">
        <v>393</v>
      </c>
      <c r="G1039" s="195" t="s">
        <v>688</v>
      </c>
    </row>
    <row r="1040" spans="1:7" hidden="1">
      <c r="A1040" s="194" t="s">
        <v>395</v>
      </c>
      <c r="B1040" s="195">
        <v>77</v>
      </c>
      <c r="C1040" s="195">
        <v>0</v>
      </c>
      <c r="D1040" s="196" t="s">
        <v>283</v>
      </c>
      <c r="E1040" s="196" t="s">
        <v>517</v>
      </c>
      <c r="F1040" s="195" t="s">
        <v>394</v>
      </c>
      <c r="G1040" s="195" t="s">
        <v>688</v>
      </c>
    </row>
    <row r="1041" spans="1:7">
      <c r="A1041" s="194" t="s">
        <v>395</v>
      </c>
      <c r="B1041" s="195">
        <v>65</v>
      </c>
      <c r="C1041" s="195">
        <v>0</v>
      </c>
      <c r="D1041" s="196" t="s">
        <v>282</v>
      </c>
      <c r="E1041" s="196" t="s">
        <v>517</v>
      </c>
      <c r="F1041" s="195" t="s">
        <v>394</v>
      </c>
      <c r="G1041" s="195" t="s">
        <v>688</v>
      </c>
    </row>
    <row r="1042" spans="1:7">
      <c r="A1042" s="194" t="s">
        <v>395</v>
      </c>
      <c r="B1042" s="195">
        <v>11</v>
      </c>
      <c r="C1042" s="195">
        <v>0</v>
      </c>
      <c r="D1042" s="196" t="s">
        <v>282</v>
      </c>
      <c r="E1042" s="196" t="s">
        <v>517</v>
      </c>
      <c r="F1042" s="195" t="s">
        <v>393</v>
      </c>
      <c r="G1042" s="195" t="s">
        <v>688</v>
      </c>
    </row>
    <row r="1043" spans="1:7" hidden="1">
      <c r="A1043" s="194" t="s">
        <v>696</v>
      </c>
      <c r="B1043" s="195">
        <v>-16300</v>
      </c>
      <c r="C1043" s="195">
        <v>0</v>
      </c>
      <c r="D1043" s="196" t="s">
        <v>440</v>
      </c>
      <c r="E1043" s="196" t="s">
        <v>697</v>
      </c>
      <c r="F1043" s="195" t="s">
        <v>394</v>
      </c>
      <c r="G1043" s="195" t="s">
        <v>688</v>
      </c>
    </row>
    <row r="1044" spans="1:7" hidden="1">
      <c r="A1044" s="194" t="s">
        <v>696</v>
      </c>
      <c r="B1044" s="195">
        <v>16300</v>
      </c>
      <c r="C1044" s="195">
        <v>0</v>
      </c>
      <c r="D1044" s="196" t="s">
        <v>440</v>
      </c>
      <c r="E1044" s="196" t="s">
        <v>697</v>
      </c>
      <c r="F1044" s="195" t="s">
        <v>407</v>
      </c>
      <c r="G1044" s="195" t="s">
        <v>688</v>
      </c>
    </row>
    <row r="1045" spans="1:7" hidden="1">
      <c r="A1045" s="194" t="s">
        <v>698</v>
      </c>
      <c r="B1045" s="195">
        <v>-208000</v>
      </c>
      <c r="C1045" s="195">
        <v>0</v>
      </c>
      <c r="D1045" s="196" t="s">
        <v>442</v>
      </c>
      <c r="E1045" s="196" t="s">
        <v>692</v>
      </c>
      <c r="F1045" s="195" t="s">
        <v>409</v>
      </c>
      <c r="G1045" s="195" t="s">
        <v>688</v>
      </c>
    </row>
    <row r="1046" spans="1:7" hidden="1">
      <c r="A1046" s="194" t="s">
        <v>699</v>
      </c>
      <c r="B1046" s="195">
        <v>-208000</v>
      </c>
      <c r="C1046" s="195">
        <v>0</v>
      </c>
      <c r="D1046" s="196" t="s">
        <v>442</v>
      </c>
      <c r="E1046" s="196" t="s">
        <v>692</v>
      </c>
      <c r="F1046" s="195" t="s">
        <v>409</v>
      </c>
      <c r="G1046" s="195" t="s">
        <v>688</v>
      </c>
    </row>
    <row r="1047" spans="1:7" hidden="1">
      <c r="A1047" s="194" t="s">
        <v>700</v>
      </c>
      <c r="B1047" s="195">
        <v>208000</v>
      </c>
      <c r="C1047" s="195">
        <v>0</v>
      </c>
      <c r="D1047" s="196" t="s">
        <v>442</v>
      </c>
      <c r="E1047" s="196" t="s">
        <v>692</v>
      </c>
      <c r="F1047" s="195" t="s">
        <v>409</v>
      </c>
      <c r="G1047" s="195" t="s">
        <v>688</v>
      </c>
    </row>
    <row r="1048" spans="1:7">
      <c r="A1048" s="194" t="s">
        <v>303</v>
      </c>
      <c r="B1048" s="195">
        <v>-326</v>
      </c>
      <c r="C1048" s="195">
        <v>0</v>
      </c>
      <c r="D1048" s="196" t="s">
        <v>282</v>
      </c>
      <c r="E1048" s="196" t="s">
        <v>317</v>
      </c>
      <c r="F1048" s="195" t="s">
        <v>394</v>
      </c>
      <c r="G1048" s="195" t="s">
        <v>688</v>
      </c>
    </row>
    <row r="1049" spans="1:7">
      <c r="A1049" s="194" t="s">
        <v>303</v>
      </c>
      <c r="B1049" s="195">
        <v>344</v>
      </c>
      <c r="C1049" s="195">
        <v>0</v>
      </c>
      <c r="D1049" s="196" t="s">
        <v>282</v>
      </c>
      <c r="E1049" s="196" t="s">
        <v>317</v>
      </c>
      <c r="F1049" s="195" t="s">
        <v>445</v>
      </c>
      <c r="G1049" s="195" t="s">
        <v>688</v>
      </c>
    </row>
    <row r="1050" spans="1:7">
      <c r="A1050" s="194" t="s">
        <v>303</v>
      </c>
      <c r="B1050" s="195">
        <v>40</v>
      </c>
      <c r="C1050" s="195">
        <v>0</v>
      </c>
      <c r="D1050" s="196" t="s">
        <v>282</v>
      </c>
      <c r="E1050" s="196" t="s">
        <v>317</v>
      </c>
      <c r="F1050" s="195" t="s">
        <v>393</v>
      </c>
      <c r="G1050" s="195" t="s">
        <v>688</v>
      </c>
    </row>
    <row r="1051" spans="1:7">
      <c r="A1051" s="194" t="s">
        <v>303</v>
      </c>
      <c r="B1051" s="195">
        <v>-58</v>
      </c>
      <c r="C1051" s="195">
        <v>0</v>
      </c>
      <c r="D1051" s="196" t="s">
        <v>282</v>
      </c>
      <c r="E1051" s="196" t="s">
        <v>317</v>
      </c>
      <c r="F1051" s="195" t="s">
        <v>403</v>
      </c>
      <c r="G1051" s="195" t="s">
        <v>688</v>
      </c>
    </row>
    <row r="1052" spans="1:7" hidden="1">
      <c r="A1052" s="194" t="s">
        <v>521</v>
      </c>
      <c r="B1052" s="195">
        <v>-1143</v>
      </c>
      <c r="C1052" s="195">
        <v>0</v>
      </c>
      <c r="D1052" s="196" t="s">
        <v>442</v>
      </c>
      <c r="E1052" s="196" t="s">
        <v>522</v>
      </c>
      <c r="F1052" s="195" t="s">
        <v>394</v>
      </c>
      <c r="G1052" s="195" t="s">
        <v>688</v>
      </c>
    </row>
    <row r="1053" spans="1:7" hidden="1">
      <c r="A1053" s="194" t="s">
        <v>701</v>
      </c>
      <c r="B1053" s="195">
        <v>-5</v>
      </c>
      <c r="C1053" s="195">
        <v>0</v>
      </c>
      <c r="D1053" s="196" t="s">
        <v>442</v>
      </c>
      <c r="E1053" s="196" t="s">
        <v>702</v>
      </c>
      <c r="F1053" s="195" t="s">
        <v>394</v>
      </c>
      <c r="G1053" s="195" t="s">
        <v>688</v>
      </c>
    </row>
    <row r="1054" spans="1:7" hidden="1">
      <c r="A1054" s="194" t="s">
        <v>703</v>
      </c>
      <c r="B1054" s="195">
        <v>24500</v>
      </c>
      <c r="C1054" s="195">
        <v>0</v>
      </c>
      <c r="D1054" s="196" t="s">
        <v>440</v>
      </c>
      <c r="E1054" s="196" t="s">
        <v>704</v>
      </c>
      <c r="F1054" s="195" t="s">
        <v>409</v>
      </c>
      <c r="G1054" s="195" t="s">
        <v>688</v>
      </c>
    </row>
    <row r="1055" spans="1:7" hidden="1">
      <c r="A1055" s="194" t="s">
        <v>705</v>
      </c>
      <c r="B1055" s="195">
        <v>23300</v>
      </c>
      <c r="C1055" s="195">
        <v>0</v>
      </c>
      <c r="D1055" s="196" t="s">
        <v>440</v>
      </c>
      <c r="E1055" s="196" t="s">
        <v>704</v>
      </c>
      <c r="F1055" s="195" t="s">
        <v>409</v>
      </c>
      <c r="G1055" s="195" t="s">
        <v>688</v>
      </c>
    </row>
    <row r="1056" spans="1:7" hidden="1">
      <c r="A1056" s="194" t="s">
        <v>706</v>
      </c>
      <c r="B1056" s="195">
        <v>-31700</v>
      </c>
      <c r="C1056" s="195">
        <v>0</v>
      </c>
      <c r="D1056" s="196" t="s">
        <v>440</v>
      </c>
      <c r="E1056" s="196" t="s">
        <v>704</v>
      </c>
      <c r="F1056" s="195" t="s">
        <v>409</v>
      </c>
      <c r="G1056" s="195" t="s">
        <v>688</v>
      </c>
    </row>
    <row r="1057" spans="1:7" hidden="1">
      <c r="A1057" s="194" t="s">
        <v>707</v>
      </c>
      <c r="B1057" s="195">
        <v>31700</v>
      </c>
      <c r="C1057" s="195">
        <v>0</v>
      </c>
      <c r="D1057" s="196" t="s">
        <v>440</v>
      </c>
      <c r="E1057" s="196" t="s">
        <v>704</v>
      </c>
      <c r="F1057" s="195" t="s">
        <v>409</v>
      </c>
      <c r="G1057" s="195" t="s">
        <v>688</v>
      </c>
    </row>
    <row r="1058" spans="1:7" hidden="1">
      <c r="A1058" s="194" t="s">
        <v>89</v>
      </c>
      <c r="B1058" s="195">
        <v>-363</v>
      </c>
      <c r="C1058" s="195">
        <v>0</v>
      </c>
      <c r="D1058" s="196" t="s">
        <v>283</v>
      </c>
      <c r="E1058" s="196" t="s">
        <v>320</v>
      </c>
      <c r="F1058" s="195" t="s">
        <v>394</v>
      </c>
      <c r="G1058" s="195" t="s">
        <v>688</v>
      </c>
    </row>
    <row r="1059" spans="1:7" hidden="1">
      <c r="A1059" s="194" t="s">
        <v>89</v>
      </c>
      <c r="B1059" s="195">
        <v>363</v>
      </c>
      <c r="C1059" s="195">
        <v>0</v>
      </c>
      <c r="D1059" s="196" t="s">
        <v>283</v>
      </c>
      <c r="E1059" s="196" t="s">
        <v>320</v>
      </c>
      <c r="F1059" s="195" t="s">
        <v>441</v>
      </c>
      <c r="G1059" s="195" t="s">
        <v>688</v>
      </c>
    </row>
    <row r="1060" spans="1:7">
      <c r="A1060" s="194" t="s">
        <v>89</v>
      </c>
      <c r="B1060" s="195">
        <v>-5597</v>
      </c>
      <c r="C1060" s="195">
        <v>0</v>
      </c>
      <c r="D1060" s="196" t="s">
        <v>282</v>
      </c>
      <c r="E1060" s="196" t="s">
        <v>320</v>
      </c>
      <c r="F1060" s="195" t="s">
        <v>394</v>
      </c>
      <c r="G1060" s="195" t="s">
        <v>688</v>
      </c>
    </row>
    <row r="1061" spans="1:7">
      <c r="A1061" s="194" t="s">
        <v>89</v>
      </c>
      <c r="B1061" s="195">
        <v>3637</v>
      </c>
      <c r="C1061" s="195">
        <v>0</v>
      </c>
      <c r="D1061" s="196" t="s">
        <v>282</v>
      </c>
      <c r="E1061" s="196" t="s">
        <v>320</v>
      </c>
      <c r="F1061" s="195" t="s">
        <v>393</v>
      </c>
      <c r="G1061" s="195" t="s">
        <v>688</v>
      </c>
    </row>
    <row r="1062" spans="1:7">
      <c r="A1062" s="194" t="s">
        <v>89</v>
      </c>
      <c r="B1062" s="195">
        <v>1274</v>
      </c>
      <c r="C1062" s="195">
        <v>0</v>
      </c>
      <c r="D1062" s="196" t="s">
        <v>282</v>
      </c>
      <c r="E1062" s="196" t="s">
        <v>320</v>
      </c>
      <c r="F1062" s="195" t="s">
        <v>413</v>
      </c>
      <c r="G1062" s="195" t="s">
        <v>688</v>
      </c>
    </row>
    <row r="1063" spans="1:7">
      <c r="A1063" s="194" t="s">
        <v>89</v>
      </c>
      <c r="B1063" s="195">
        <v>2071</v>
      </c>
      <c r="C1063" s="195">
        <v>0</v>
      </c>
      <c r="D1063" s="196" t="s">
        <v>282</v>
      </c>
      <c r="E1063" s="196" t="s">
        <v>320</v>
      </c>
      <c r="F1063" s="195" t="s">
        <v>403</v>
      </c>
      <c r="G1063" s="195" t="s">
        <v>688</v>
      </c>
    </row>
    <row r="1064" spans="1:7">
      <c r="A1064" s="194" t="s">
        <v>89</v>
      </c>
      <c r="B1064" s="195">
        <v>-363</v>
      </c>
      <c r="C1064" s="195">
        <v>0</v>
      </c>
      <c r="D1064" s="196" t="s">
        <v>282</v>
      </c>
      <c r="E1064" s="196" t="s">
        <v>320</v>
      </c>
      <c r="F1064" s="195" t="s">
        <v>441</v>
      </c>
      <c r="G1064" s="195" t="s">
        <v>688</v>
      </c>
    </row>
    <row r="1065" spans="1:7">
      <c r="A1065" s="194" t="s">
        <v>89</v>
      </c>
      <c r="B1065" s="195">
        <v>-1022</v>
      </c>
      <c r="C1065" s="195">
        <v>0</v>
      </c>
      <c r="D1065" s="196" t="s">
        <v>282</v>
      </c>
      <c r="E1065" s="196" t="s">
        <v>320</v>
      </c>
      <c r="F1065" s="195" t="s">
        <v>411</v>
      </c>
      <c r="G1065" s="195" t="s">
        <v>688</v>
      </c>
    </row>
    <row r="1066" spans="1:7">
      <c r="A1066" s="194" t="s">
        <v>708</v>
      </c>
      <c r="B1066" s="195">
        <v>2550</v>
      </c>
      <c r="C1066" s="195">
        <v>0</v>
      </c>
      <c r="D1066" s="196" t="s">
        <v>282</v>
      </c>
      <c r="E1066" s="196" t="s">
        <v>317</v>
      </c>
      <c r="F1066" s="195" t="s">
        <v>394</v>
      </c>
      <c r="G1066" s="195" t="s">
        <v>688</v>
      </c>
    </row>
    <row r="1067" spans="1:7">
      <c r="A1067" s="194" t="s">
        <v>708</v>
      </c>
      <c r="B1067" s="195">
        <v>-2550</v>
      </c>
      <c r="C1067" s="195">
        <v>0</v>
      </c>
      <c r="D1067" s="196" t="s">
        <v>282</v>
      </c>
      <c r="E1067" s="196" t="s">
        <v>317</v>
      </c>
      <c r="F1067" s="195" t="s">
        <v>407</v>
      </c>
      <c r="G1067" s="195" t="s">
        <v>688</v>
      </c>
    </row>
    <row r="1068" spans="1:7" hidden="1">
      <c r="A1068" s="194" t="s">
        <v>234</v>
      </c>
      <c r="B1068" s="195">
        <v>55</v>
      </c>
      <c r="C1068" s="195">
        <v>0</v>
      </c>
      <c r="D1068" s="196" t="s">
        <v>283</v>
      </c>
      <c r="E1068" s="196" t="s">
        <v>319</v>
      </c>
      <c r="F1068" s="195" t="s">
        <v>441</v>
      </c>
      <c r="G1068" s="195" t="s">
        <v>688</v>
      </c>
    </row>
    <row r="1069" spans="1:7">
      <c r="A1069" s="194" t="s">
        <v>234</v>
      </c>
      <c r="B1069" s="195">
        <v>110</v>
      </c>
      <c r="C1069" s="195">
        <v>0</v>
      </c>
      <c r="D1069" s="196" t="s">
        <v>282</v>
      </c>
      <c r="E1069" s="196" t="s">
        <v>319</v>
      </c>
      <c r="F1069" s="195" t="s">
        <v>408</v>
      </c>
      <c r="G1069" s="195" t="s">
        <v>688</v>
      </c>
    </row>
    <row r="1070" spans="1:7">
      <c r="A1070" s="194" t="s">
        <v>234</v>
      </c>
      <c r="B1070" s="195">
        <v>-55</v>
      </c>
      <c r="C1070" s="195">
        <v>0</v>
      </c>
      <c r="D1070" s="196" t="s">
        <v>282</v>
      </c>
      <c r="E1070" s="196" t="s">
        <v>319</v>
      </c>
      <c r="F1070" s="195" t="s">
        <v>441</v>
      </c>
      <c r="G1070" s="195" t="s">
        <v>688</v>
      </c>
    </row>
    <row r="1071" spans="1:7" hidden="1">
      <c r="A1071" s="194" t="s">
        <v>524</v>
      </c>
      <c r="B1071" s="195">
        <v>618800</v>
      </c>
      <c r="C1071" s="195">
        <v>0</v>
      </c>
      <c r="D1071" s="196" t="s">
        <v>437</v>
      </c>
      <c r="E1071" s="196" t="s">
        <v>525</v>
      </c>
      <c r="F1071" s="195" t="s">
        <v>394</v>
      </c>
      <c r="G1071" s="195" t="s">
        <v>688</v>
      </c>
    </row>
    <row r="1072" spans="1:7" hidden="1">
      <c r="A1072" s="194" t="s">
        <v>524</v>
      </c>
      <c r="B1072" s="195">
        <v>-618800</v>
      </c>
      <c r="C1072" s="195">
        <v>0</v>
      </c>
      <c r="D1072" s="196" t="s">
        <v>437</v>
      </c>
      <c r="E1072" s="196" t="s">
        <v>525</v>
      </c>
      <c r="F1072" s="195" t="s">
        <v>393</v>
      </c>
      <c r="G1072" s="195" t="s">
        <v>688</v>
      </c>
    </row>
    <row r="1073" spans="1:7">
      <c r="A1073" s="194" t="s">
        <v>524</v>
      </c>
      <c r="B1073" s="195">
        <v>618800</v>
      </c>
      <c r="C1073" s="195">
        <v>0</v>
      </c>
      <c r="D1073" s="196" t="s">
        <v>282</v>
      </c>
      <c r="E1073" s="196" t="s">
        <v>525</v>
      </c>
      <c r="F1073" s="195" t="s">
        <v>394</v>
      </c>
      <c r="G1073" s="195" t="s">
        <v>688</v>
      </c>
    </row>
    <row r="1074" spans="1:7">
      <c r="A1074" s="194" t="s">
        <v>524</v>
      </c>
      <c r="B1074" s="195">
        <v>-618800</v>
      </c>
      <c r="C1074" s="195">
        <v>0</v>
      </c>
      <c r="D1074" s="196" t="s">
        <v>282</v>
      </c>
      <c r="E1074" s="196" t="s">
        <v>525</v>
      </c>
      <c r="F1074" s="195" t="s">
        <v>393</v>
      </c>
      <c r="G1074" s="195" t="s">
        <v>688</v>
      </c>
    </row>
    <row r="1075" spans="1:7" hidden="1">
      <c r="A1075" s="194" t="s">
        <v>526</v>
      </c>
      <c r="B1075" s="195">
        <v>348203</v>
      </c>
      <c r="C1075" s="195">
        <v>0</v>
      </c>
      <c r="D1075" s="196" t="s">
        <v>440</v>
      </c>
      <c r="E1075" s="196" t="s">
        <v>39</v>
      </c>
      <c r="F1075" s="195" t="s">
        <v>394</v>
      </c>
      <c r="G1075" s="195" t="s">
        <v>688</v>
      </c>
    </row>
    <row r="1076" spans="1:7" hidden="1">
      <c r="A1076" s="194" t="s">
        <v>526</v>
      </c>
      <c r="B1076" s="195">
        <v>14179</v>
      </c>
      <c r="C1076" s="195">
        <v>0</v>
      </c>
      <c r="D1076" s="196" t="s">
        <v>442</v>
      </c>
      <c r="E1076" s="196" t="s">
        <v>39</v>
      </c>
      <c r="F1076" s="195" t="s">
        <v>394</v>
      </c>
      <c r="G1076" s="195" t="s">
        <v>688</v>
      </c>
    </row>
    <row r="1077" spans="1:7" hidden="1">
      <c r="A1077" s="194" t="s">
        <v>527</v>
      </c>
      <c r="B1077" s="195">
        <v>-3020</v>
      </c>
      <c r="C1077" s="195">
        <v>0</v>
      </c>
      <c r="D1077" s="196" t="s">
        <v>440</v>
      </c>
      <c r="E1077" s="196" t="s">
        <v>327</v>
      </c>
      <c r="F1077" s="195" t="s">
        <v>394</v>
      </c>
      <c r="G1077" s="195" t="s">
        <v>688</v>
      </c>
    </row>
    <row r="1078" spans="1:7" hidden="1">
      <c r="A1078" s="194" t="s">
        <v>528</v>
      </c>
      <c r="B1078" s="195">
        <v>-3020</v>
      </c>
      <c r="C1078" s="195">
        <v>0</v>
      </c>
      <c r="D1078" s="196" t="s">
        <v>440</v>
      </c>
      <c r="E1078" s="196" t="s">
        <v>327</v>
      </c>
      <c r="F1078" s="195" t="s">
        <v>394</v>
      </c>
      <c r="G1078" s="195" t="s">
        <v>688</v>
      </c>
    </row>
    <row r="1079" spans="1:7" hidden="1">
      <c r="A1079" s="194" t="s">
        <v>529</v>
      </c>
      <c r="B1079" s="195">
        <v>3020</v>
      </c>
      <c r="C1079" s="195">
        <v>0</v>
      </c>
      <c r="D1079" s="196" t="s">
        <v>440</v>
      </c>
      <c r="E1079" s="196" t="s">
        <v>327</v>
      </c>
      <c r="F1079" s="195" t="s">
        <v>394</v>
      </c>
      <c r="G1079" s="195" t="s">
        <v>688</v>
      </c>
    </row>
    <row r="1080" spans="1:7" hidden="1">
      <c r="A1080" s="194" t="s">
        <v>530</v>
      </c>
      <c r="B1080" s="195">
        <v>-3280</v>
      </c>
      <c r="C1080" s="195">
        <v>0</v>
      </c>
      <c r="D1080" s="196" t="s">
        <v>440</v>
      </c>
      <c r="E1080" s="196" t="s">
        <v>327</v>
      </c>
      <c r="F1080" s="195" t="s">
        <v>409</v>
      </c>
      <c r="G1080" s="195" t="s">
        <v>688</v>
      </c>
    </row>
    <row r="1081" spans="1:7" hidden="1">
      <c r="A1081" s="194" t="s">
        <v>531</v>
      </c>
      <c r="B1081" s="195">
        <v>-3280</v>
      </c>
      <c r="C1081" s="195">
        <v>0</v>
      </c>
      <c r="D1081" s="196" t="s">
        <v>440</v>
      </c>
      <c r="E1081" s="196" t="s">
        <v>327</v>
      </c>
      <c r="F1081" s="195" t="s">
        <v>409</v>
      </c>
      <c r="G1081" s="195" t="s">
        <v>688</v>
      </c>
    </row>
    <row r="1082" spans="1:7" hidden="1">
      <c r="A1082" s="194" t="s">
        <v>532</v>
      </c>
      <c r="B1082" s="195">
        <v>3280</v>
      </c>
      <c r="C1082" s="195">
        <v>0</v>
      </c>
      <c r="D1082" s="196" t="s">
        <v>440</v>
      </c>
      <c r="E1082" s="196" t="s">
        <v>327</v>
      </c>
      <c r="F1082" s="195" t="s">
        <v>409</v>
      </c>
      <c r="G1082" s="195" t="s">
        <v>688</v>
      </c>
    </row>
    <row r="1083" spans="1:7" hidden="1">
      <c r="A1083" s="194" t="s">
        <v>709</v>
      </c>
      <c r="B1083" s="195">
        <v>-44300</v>
      </c>
      <c r="C1083" s="195">
        <v>0</v>
      </c>
      <c r="D1083" s="196" t="s">
        <v>442</v>
      </c>
      <c r="E1083" s="196" t="s">
        <v>692</v>
      </c>
      <c r="F1083" s="195" t="s">
        <v>409</v>
      </c>
      <c r="G1083" s="195" t="s">
        <v>688</v>
      </c>
    </row>
    <row r="1084" spans="1:7" hidden="1">
      <c r="A1084" s="194" t="s">
        <v>710</v>
      </c>
      <c r="B1084" s="195">
        <v>44300</v>
      </c>
      <c r="C1084" s="195">
        <v>0</v>
      </c>
      <c r="D1084" s="196" t="s">
        <v>442</v>
      </c>
      <c r="E1084" s="196" t="s">
        <v>692</v>
      </c>
      <c r="F1084" s="195" t="s">
        <v>409</v>
      </c>
      <c r="G1084" s="195" t="s">
        <v>688</v>
      </c>
    </row>
    <row r="1085" spans="1:7" hidden="1">
      <c r="A1085" s="194" t="s">
        <v>711</v>
      </c>
      <c r="B1085" s="195">
        <v>438000</v>
      </c>
      <c r="C1085" s="195">
        <v>0</v>
      </c>
      <c r="D1085" s="196" t="s">
        <v>440</v>
      </c>
      <c r="E1085" s="196" t="s">
        <v>692</v>
      </c>
      <c r="F1085" s="195" t="s">
        <v>409</v>
      </c>
      <c r="G1085" s="195" t="s">
        <v>688</v>
      </c>
    </row>
    <row r="1086" spans="1:7" hidden="1">
      <c r="A1086" s="194" t="s">
        <v>144</v>
      </c>
      <c r="B1086" s="195">
        <v>79</v>
      </c>
      <c r="C1086" s="195">
        <v>0</v>
      </c>
      <c r="D1086" s="196" t="s">
        <v>440</v>
      </c>
      <c r="E1086" s="196" t="s">
        <v>320</v>
      </c>
      <c r="F1086" s="195" t="s">
        <v>394</v>
      </c>
      <c r="G1086" s="195" t="s">
        <v>688</v>
      </c>
    </row>
    <row r="1087" spans="1:7" hidden="1">
      <c r="A1087" s="194" t="s">
        <v>144</v>
      </c>
      <c r="B1087" s="195">
        <v>-79</v>
      </c>
      <c r="C1087" s="195">
        <v>0</v>
      </c>
      <c r="D1087" s="196" t="s">
        <v>440</v>
      </c>
      <c r="E1087" s="196" t="s">
        <v>320</v>
      </c>
      <c r="F1087" s="195" t="s">
        <v>441</v>
      </c>
      <c r="G1087" s="195" t="s">
        <v>688</v>
      </c>
    </row>
    <row r="1088" spans="1:7" hidden="1">
      <c r="A1088" s="194" t="s">
        <v>144</v>
      </c>
      <c r="B1088" s="195">
        <v>-79</v>
      </c>
      <c r="C1088" s="195">
        <v>0</v>
      </c>
      <c r="D1088" s="196" t="s">
        <v>437</v>
      </c>
      <c r="E1088" s="196" t="s">
        <v>320</v>
      </c>
      <c r="F1088" s="195" t="s">
        <v>394</v>
      </c>
      <c r="G1088" s="195" t="s">
        <v>688</v>
      </c>
    </row>
    <row r="1089" spans="1:7" hidden="1">
      <c r="A1089" s="194" t="s">
        <v>144</v>
      </c>
      <c r="B1089" s="195">
        <v>79</v>
      </c>
      <c r="C1089" s="195">
        <v>0</v>
      </c>
      <c r="D1089" s="196" t="s">
        <v>437</v>
      </c>
      <c r="E1089" s="196" t="s">
        <v>320</v>
      </c>
      <c r="F1089" s="195" t="s">
        <v>441</v>
      </c>
      <c r="G1089" s="195" t="s">
        <v>688</v>
      </c>
    </row>
    <row r="1090" spans="1:7">
      <c r="A1090" s="194" t="s">
        <v>144</v>
      </c>
      <c r="B1090" s="195">
        <v>703</v>
      </c>
      <c r="C1090" s="195">
        <v>0</v>
      </c>
      <c r="D1090" s="196" t="s">
        <v>282</v>
      </c>
      <c r="E1090" s="196" t="s">
        <v>320</v>
      </c>
      <c r="F1090" s="195" t="s">
        <v>394</v>
      </c>
      <c r="G1090" s="195" t="s">
        <v>688</v>
      </c>
    </row>
    <row r="1091" spans="1:7">
      <c r="A1091" s="194" t="s">
        <v>144</v>
      </c>
      <c r="B1091" s="195">
        <v>-703</v>
      </c>
      <c r="C1091" s="195">
        <v>0</v>
      </c>
      <c r="D1091" s="196" t="s">
        <v>282</v>
      </c>
      <c r="E1091" s="196" t="s">
        <v>320</v>
      </c>
      <c r="F1091" s="195" t="s">
        <v>393</v>
      </c>
      <c r="G1091" s="195" t="s">
        <v>688</v>
      </c>
    </row>
    <row r="1092" spans="1:7" hidden="1">
      <c r="A1092" s="194" t="s">
        <v>144</v>
      </c>
      <c r="B1092" s="195">
        <v>-108</v>
      </c>
      <c r="C1092" s="195">
        <v>0</v>
      </c>
      <c r="D1092" s="196" t="s">
        <v>442</v>
      </c>
      <c r="E1092" s="196" t="s">
        <v>320</v>
      </c>
      <c r="F1092" s="195" t="s">
        <v>394</v>
      </c>
      <c r="G1092" s="195" t="s">
        <v>688</v>
      </c>
    </row>
    <row r="1093" spans="1:7" hidden="1">
      <c r="A1093" s="194" t="s">
        <v>533</v>
      </c>
      <c r="B1093" s="195">
        <v>1400</v>
      </c>
      <c r="C1093" s="195">
        <v>0</v>
      </c>
      <c r="D1093" s="196" t="s">
        <v>442</v>
      </c>
      <c r="E1093" s="196" t="s">
        <v>39</v>
      </c>
      <c r="F1093" s="195" t="s">
        <v>394</v>
      </c>
      <c r="G1093" s="195" t="s">
        <v>688</v>
      </c>
    </row>
    <row r="1094" spans="1:7" hidden="1">
      <c r="A1094" s="194" t="s">
        <v>6</v>
      </c>
      <c r="B1094" s="195">
        <v>1277</v>
      </c>
      <c r="C1094" s="195">
        <v>0</v>
      </c>
      <c r="D1094" s="196" t="s">
        <v>283</v>
      </c>
      <c r="E1094" s="196" t="s">
        <v>320</v>
      </c>
      <c r="F1094" s="195" t="s">
        <v>394</v>
      </c>
      <c r="G1094" s="195" t="s">
        <v>688</v>
      </c>
    </row>
    <row r="1095" spans="1:7" hidden="1">
      <c r="A1095" s="194" t="s">
        <v>6</v>
      </c>
      <c r="B1095" s="195">
        <v>-1277</v>
      </c>
      <c r="C1095" s="195">
        <v>0</v>
      </c>
      <c r="D1095" s="196" t="s">
        <v>283</v>
      </c>
      <c r="E1095" s="196" t="s">
        <v>320</v>
      </c>
      <c r="F1095" s="195" t="s">
        <v>441</v>
      </c>
      <c r="G1095" s="195" t="s">
        <v>688</v>
      </c>
    </row>
    <row r="1096" spans="1:7" hidden="1">
      <c r="A1096" s="194" t="s">
        <v>6</v>
      </c>
      <c r="B1096" s="195">
        <v>-1370</v>
      </c>
      <c r="C1096" s="195">
        <v>0</v>
      </c>
      <c r="D1096" s="196" t="s">
        <v>437</v>
      </c>
      <c r="E1096" s="196" t="s">
        <v>320</v>
      </c>
      <c r="F1096" s="195" t="s">
        <v>394</v>
      </c>
      <c r="G1096" s="195" t="s">
        <v>688</v>
      </c>
    </row>
    <row r="1097" spans="1:7">
      <c r="A1097" s="194" t="s">
        <v>6</v>
      </c>
      <c r="B1097" s="195">
        <v>5534</v>
      </c>
      <c r="C1097" s="195">
        <v>0</v>
      </c>
      <c r="D1097" s="196" t="s">
        <v>282</v>
      </c>
      <c r="E1097" s="196" t="s">
        <v>320</v>
      </c>
      <c r="F1097" s="195" t="s">
        <v>394</v>
      </c>
      <c r="G1097" s="195" t="s">
        <v>688</v>
      </c>
    </row>
    <row r="1098" spans="1:7">
      <c r="A1098" s="194" t="s">
        <v>6</v>
      </c>
      <c r="B1098" s="195">
        <v>162</v>
      </c>
      <c r="C1098" s="195">
        <v>0</v>
      </c>
      <c r="D1098" s="196" t="s">
        <v>282</v>
      </c>
      <c r="E1098" s="196" t="s">
        <v>320</v>
      </c>
      <c r="F1098" s="195" t="s">
        <v>445</v>
      </c>
      <c r="G1098" s="195" t="s">
        <v>688</v>
      </c>
    </row>
    <row r="1099" spans="1:7">
      <c r="A1099" s="194" t="s">
        <v>6</v>
      </c>
      <c r="B1099" s="195">
        <v>1137</v>
      </c>
      <c r="C1099" s="195">
        <v>0</v>
      </c>
      <c r="D1099" s="196" t="s">
        <v>282</v>
      </c>
      <c r="E1099" s="196" t="s">
        <v>320</v>
      </c>
      <c r="F1099" s="195" t="s">
        <v>393</v>
      </c>
      <c r="G1099" s="195" t="s">
        <v>688</v>
      </c>
    </row>
    <row r="1100" spans="1:7">
      <c r="A1100" s="194" t="s">
        <v>6</v>
      </c>
      <c r="B1100" s="195">
        <v>-1757</v>
      </c>
      <c r="C1100" s="195">
        <v>0</v>
      </c>
      <c r="D1100" s="196" t="s">
        <v>282</v>
      </c>
      <c r="E1100" s="196" t="s">
        <v>320</v>
      </c>
      <c r="F1100" s="195" t="s">
        <v>413</v>
      </c>
      <c r="G1100" s="195" t="s">
        <v>688</v>
      </c>
    </row>
    <row r="1101" spans="1:7">
      <c r="A1101" s="194" t="s">
        <v>6</v>
      </c>
      <c r="B1101" s="195">
        <v>-5051</v>
      </c>
      <c r="C1101" s="195">
        <v>0</v>
      </c>
      <c r="D1101" s="196" t="s">
        <v>282</v>
      </c>
      <c r="E1101" s="196" t="s">
        <v>320</v>
      </c>
      <c r="F1101" s="195" t="s">
        <v>403</v>
      </c>
      <c r="G1101" s="195" t="s">
        <v>688</v>
      </c>
    </row>
    <row r="1102" spans="1:7">
      <c r="A1102" s="194" t="s">
        <v>6</v>
      </c>
      <c r="B1102" s="195">
        <v>1277</v>
      </c>
      <c r="C1102" s="195">
        <v>0</v>
      </c>
      <c r="D1102" s="196" t="s">
        <v>282</v>
      </c>
      <c r="E1102" s="196" t="s">
        <v>320</v>
      </c>
      <c r="F1102" s="195" t="s">
        <v>441</v>
      </c>
      <c r="G1102" s="195" t="s">
        <v>688</v>
      </c>
    </row>
    <row r="1103" spans="1:7">
      <c r="A1103" s="194" t="s">
        <v>6</v>
      </c>
      <c r="B1103" s="195">
        <v>-1302</v>
      </c>
      <c r="C1103" s="195">
        <v>0</v>
      </c>
      <c r="D1103" s="196" t="s">
        <v>282</v>
      </c>
      <c r="E1103" s="196" t="s">
        <v>320</v>
      </c>
      <c r="F1103" s="195" t="s">
        <v>449</v>
      </c>
      <c r="G1103" s="195" t="s">
        <v>688</v>
      </c>
    </row>
    <row r="1104" spans="1:7" hidden="1">
      <c r="A1104" s="194" t="s">
        <v>71</v>
      </c>
      <c r="B1104" s="195">
        <v>2929</v>
      </c>
      <c r="C1104" s="195">
        <v>0</v>
      </c>
      <c r="D1104" s="196" t="s">
        <v>283</v>
      </c>
      <c r="E1104" s="196" t="s">
        <v>320</v>
      </c>
      <c r="F1104" s="195" t="s">
        <v>394</v>
      </c>
      <c r="G1104" s="195" t="s">
        <v>688</v>
      </c>
    </row>
    <row r="1105" spans="1:7">
      <c r="A1105" s="194" t="s">
        <v>71</v>
      </c>
      <c r="B1105" s="195">
        <v>-2253</v>
      </c>
      <c r="C1105" s="195">
        <v>0</v>
      </c>
      <c r="D1105" s="196" t="s">
        <v>282</v>
      </c>
      <c r="E1105" s="196" t="s">
        <v>320</v>
      </c>
      <c r="F1105" s="195" t="s">
        <v>394</v>
      </c>
      <c r="G1105" s="195" t="s">
        <v>688</v>
      </c>
    </row>
    <row r="1106" spans="1:7">
      <c r="A1106" s="194" t="s">
        <v>71</v>
      </c>
      <c r="B1106" s="195">
        <v>-676</v>
      </c>
      <c r="C1106" s="195">
        <v>0</v>
      </c>
      <c r="D1106" s="196" t="s">
        <v>282</v>
      </c>
      <c r="E1106" s="196" t="s">
        <v>320</v>
      </c>
      <c r="F1106" s="195" t="s">
        <v>445</v>
      </c>
      <c r="G1106" s="195" t="s">
        <v>688</v>
      </c>
    </row>
    <row r="1107" spans="1:7">
      <c r="A1107" s="194" t="s">
        <v>71</v>
      </c>
      <c r="B1107" s="195">
        <v>5857</v>
      </c>
      <c r="C1107" s="195">
        <v>0</v>
      </c>
      <c r="D1107" s="196" t="s">
        <v>282</v>
      </c>
      <c r="E1107" s="196" t="s">
        <v>320</v>
      </c>
      <c r="F1107" s="195" t="s">
        <v>393</v>
      </c>
      <c r="G1107" s="195" t="s">
        <v>688</v>
      </c>
    </row>
    <row r="1108" spans="1:7" hidden="1">
      <c r="A1108" s="194" t="s">
        <v>534</v>
      </c>
      <c r="B1108" s="195">
        <v>19</v>
      </c>
      <c r="C1108" s="195">
        <v>0</v>
      </c>
      <c r="D1108" s="196" t="s">
        <v>283</v>
      </c>
      <c r="E1108" s="196" t="s">
        <v>324</v>
      </c>
      <c r="F1108" s="195" t="s">
        <v>394</v>
      </c>
      <c r="G1108" s="195" t="s">
        <v>688</v>
      </c>
    </row>
    <row r="1109" spans="1:7">
      <c r="A1109" s="194" t="s">
        <v>534</v>
      </c>
      <c r="B1109" s="195">
        <v>-19</v>
      </c>
      <c r="C1109" s="195">
        <v>0</v>
      </c>
      <c r="D1109" s="196" t="s">
        <v>282</v>
      </c>
      <c r="E1109" s="196" t="s">
        <v>324</v>
      </c>
      <c r="F1109" s="195" t="s">
        <v>394</v>
      </c>
      <c r="G1109" s="195" t="s">
        <v>688</v>
      </c>
    </row>
    <row r="1110" spans="1:7">
      <c r="A1110" s="194" t="s">
        <v>534</v>
      </c>
      <c r="B1110" s="195">
        <v>37</v>
      </c>
      <c r="C1110" s="195">
        <v>0</v>
      </c>
      <c r="D1110" s="196" t="s">
        <v>282</v>
      </c>
      <c r="E1110" s="196" t="s">
        <v>324</v>
      </c>
      <c r="F1110" s="195" t="s">
        <v>408</v>
      </c>
      <c r="G1110" s="195" t="s">
        <v>688</v>
      </c>
    </row>
    <row r="1111" spans="1:7" hidden="1">
      <c r="A1111" s="194" t="s">
        <v>535</v>
      </c>
      <c r="B1111" s="195">
        <v>48</v>
      </c>
      <c r="C1111" s="195">
        <v>0</v>
      </c>
      <c r="D1111" s="196" t="s">
        <v>283</v>
      </c>
      <c r="E1111" s="196" t="s">
        <v>324</v>
      </c>
      <c r="F1111" s="195" t="s">
        <v>394</v>
      </c>
      <c r="G1111" s="195" t="s">
        <v>688</v>
      </c>
    </row>
    <row r="1112" spans="1:7">
      <c r="A1112" s="194" t="s">
        <v>535</v>
      </c>
      <c r="B1112" s="195">
        <v>-48</v>
      </c>
      <c r="C1112" s="195">
        <v>0</v>
      </c>
      <c r="D1112" s="196" t="s">
        <v>282</v>
      </c>
      <c r="E1112" s="196" t="s">
        <v>324</v>
      </c>
      <c r="F1112" s="195" t="s">
        <v>394</v>
      </c>
      <c r="G1112" s="195" t="s">
        <v>688</v>
      </c>
    </row>
    <row r="1113" spans="1:7">
      <c r="A1113" s="194" t="s">
        <v>535</v>
      </c>
      <c r="B1113" s="195">
        <v>96</v>
      </c>
      <c r="C1113" s="195">
        <v>0</v>
      </c>
      <c r="D1113" s="196" t="s">
        <v>282</v>
      </c>
      <c r="E1113" s="196" t="s">
        <v>324</v>
      </c>
      <c r="F1113" s="195" t="s">
        <v>408</v>
      </c>
      <c r="G1113" s="195" t="s">
        <v>688</v>
      </c>
    </row>
    <row r="1114" spans="1:7" hidden="1">
      <c r="A1114" s="194" t="s">
        <v>50</v>
      </c>
      <c r="B1114" s="195">
        <v>901</v>
      </c>
      <c r="C1114" s="195">
        <v>0</v>
      </c>
      <c r="D1114" s="196" t="s">
        <v>283</v>
      </c>
      <c r="E1114" s="196" t="s">
        <v>320</v>
      </c>
      <c r="F1114" s="195" t="s">
        <v>408</v>
      </c>
      <c r="G1114" s="195" t="s">
        <v>688</v>
      </c>
    </row>
    <row r="1115" spans="1:7" hidden="1">
      <c r="A1115" s="194" t="s">
        <v>50</v>
      </c>
      <c r="B1115" s="195">
        <v>-182</v>
      </c>
      <c r="C1115" s="195">
        <v>0</v>
      </c>
      <c r="D1115" s="196" t="s">
        <v>283</v>
      </c>
      <c r="E1115" s="196" t="s">
        <v>320</v>
      </c>
      <c r="F1115" s="195" t="s">
        <v>393</v>
      </c>
      <c r="G1115" s="195" t="s">
        <v>688</v>
      </c>
    </row>
    <row r="1116" spans="1:7" hidden="1">
      <c r="A1116" s="194" t="s">
        <v>50</v>
      </c>
      <c r="B1116" s="195">
        <v>-719</v>
      </c>
      <c r="C1116" s="195">
        <v>0</v>
      </c>
      <c r="D1116" s="196" t="s">
        <v>283</v>
      </c>
      <c r="E1116" s="196" t="s">
        <v>320</v>
      </c>
      <c r="F1116" s="195" t="s">
        <v>413</v>
      </c>
      <c r="G1116" s="195" t="s">
        <v>688</v>
      </c>
    </row>
    <row r="1117" spans="1:7" hidden="1">
      <c r="A1117" s="194" t="s">
        <v>50</v>
      </c>
      <c r="B1117" s="195">
        <v>3742</v>
      </c>
      <c r="C1117" s="195">
        <v>0</v>
      </c>
      <c r="D1117" s="196" t="s">
        <v>437</v>
      </c>
      <c r="E1117" s="196" t="s">
        <v>320</v>
      </c>
      <c r="F1117" s="195" t="s">
        <v>394</v>
      </c>
      <c r="G1117" s="195" t="s">
        <v>688</v>
      </c>
    </row>
    <row r="1118" spans="1:7" hidden="1">
      <c r="A1118" s="194" t="s">
        <v>50</v>
      </c>
      <c r="B1118" s="195">
        <v>-3742</v>
      </c>
      <c r="C1118" s="195">
        <v>0</v>
      </c>
      <c r="D1118" s="196" t="s">
        <v>437</v>
      </c>
      <c r="E1118" s="196" t="s">
        <v>320</v>
      </c>
      <c r="F1118" s="195" t="s">
        <v>393</v>
      </c>
      <c r="G1118" s="195" t="s">
        <v>688</v>
      </c>
    </row>
    <row r="1119" spans="1:7">
      <c r="A1119" s="194" t="s">
        <v>50</v>
      </c>
      <c r="B1119" s="195">
        <v>684</v>
      </c>
      <c r="C1119" s="195">
        <v>0</v>
      </c>
      <c r="D1119" s="196" t="s">
        <v>282</v>
      </c>
      <c r="E1119" s="196" t="s">
        <v>320</v>
      </c>
      <c r="F1119" s="195" t="s">
        <v>394</v>
      </c>
      <c r="G1119" s="195" t="s">
        <v>688</v>
      </c>
    </row>
    <row r="1120" spans="1:7">
      <c r="A1120" s="194" t="s">
        <v>50</v>
      </c>
      <c r="B1120" s="195">
        <v>901</v>
      </c>
      <c r="C1120" s="195">
        <v>0</v>
      </c>
      <c r="D1120" s="196" t="s">
        <v>282</v>
      </c>
      <c r="E1120" s="196" t="s">
        <v>320</v>
      </c>
      <c r="F1120" s="195" t="s">
        <v>408</v>
      </c>
      <c r="G1120" s="195" t="s">
        <v>688</v>
      </c>
    </row>
    <row r="1121" spans="1:7">
      <c r="A1121" s="194" t="s">
        <v>50</v>
      </c>
      <c r="B1121" s="195">
        <v>156</v>
      </c>
      <c r="C1121" s="195">
        <v>0</v>
      </c>
      <c r="D1121" s="196" t="s">
        <v>282</v>
      </c>
      <c r="E1121" s="196" t="s">
        <v>320</v>
      </c>
      <c r="F1121" s="195" t="s">
        <v>393</v>
      </c>
      <c r="G1121" s="195" t="s">
        <v>688</v>
      </c>
    </row>
    <row r="1122" spans="1:7">
      <c r="A1122" s="194" t="s">
        <v>50</v>
      </c>
      <c r="B1122" s="195">
        <v>-4071</v>
      </c>
      <c r="C1122" s="195">
        <v>0</v>
      </c>
      <c r="D1122" s="196" t="s">
        <v>282</v>
      </c>
      <c r="E1122" s="196" t="s">
        <v>320</v>
      </c>
      <c r="F1122" s="195" t="s">
        <v>413</v>
      </c>
      <c r="G1122" s="195" t="s">
        <v>688</v>
      </c>
    </row>
    <row r="1123" spans="1:7">
      <c r="A1123" s="194" t="s">
        <v>50</v>
      </c>
      <c r="B1123" s="195">
        <v>2330</v>
      </c>
      <c r="C1123" s="195">
        <v>0</v>
      </c>
      <c r="D1123" s="196" t="s">
        <v>282</v>
      </c>
      <c r="E1123" s="196" t="s">
        <v>320</v>
      </c>
      <c r="F1123" s="195" t="s">
        <v>403</v>
      </c>
      <c r="G1123" s="195" t="s">
        <v>688</v>
      </c>
    </row>
    <row r="1124" spans="1:7" hidden="1">
      <c r="A1124" s="194" t="s">
        <v>50</v>
      </c>
      <c r="B1124" s="195">
        <v>435</v>
      </c>
      <c r="C1124" s="195">
        <v>0</v>
      </c>
      <c r="D1124" s="196" t="s">
        <v>442</v>
      </c>
      <c r="E1124" s="196" t="s">
        <v>320</v>
      </c>
      <c r="F1124" s="195" t="s">
        <v>394</v>
      </c>
      <c r="G1124" s="195" t="s">
        <v>688</v>
      </c>
    </row>
    <row r="1125" spans="1:7" hidden="1">
      <c r="A1125" s="194" t="s">
        <v>536</v>
      </c>
      <c r="B1125" s="195">
        <v>-28</v>
      </c>
      <c r="C1125" s="195">
        <v>0</v>
      </c>
      <c r="D1125" s="196" t="s">
        <v>283</v>
      </c>
      <c r="E1125" s="196" t="s">
        <v>324</v>
      </c>
      <c r="F1125" s="195" t="s">
        <v>394</v>
      </c>
      <c r="G1125" s="195" t="s">
        <v>688</v>
      </c>
    </row>
    <row r="1126" spans="1:7" hidden="1">
      <c r="A1126" s="194" t="s">
        <v>536</v>
      </c>
      <c r="B1126" s="195">
        <v>28</v>
      </c>
      <c r="C1126" s="195">
        <v>0</v>
      </c>
      <c r="D1126" s="196" t="s">
        <v>283</v>
      </c>
      <c r="E1126" s="196" t="s">
        <v>324</v>
      </c>
      <c r="F1126" s="195" t="s">
        <v>441</v>
      </c>
      <c r="G1126" s="195" t="s">
        <v>688</v>
      </c>
    </row>
    <row r="1127" spans="1:7">
      <c r="A1127" s="194" t="s">
        <v>536</v>
      </c>
      <c r="B1127" s="195">
        <v>28</v>
      </c>
      <c r="C1127" s="195">
        <v>0</v>
      </c>
      <c r="D1127" s="196" t="s">
        <v>282</v>
      </c>
      <c r="E1127" s="196" t="s">
        <v>324</v>
      </c>
      <c r="F1127" s="195" t="s">
        <v>394</v>
      </c>
      <c r="G1127" s="195" t="s">
        <v>688</v>
      </c>
    </row>
    <row r="1128" spans="1:7">
      <c r="A1128" s="194" t="s">
        <v>536</v>
      </c>
      <c r="B1128" s="195">
        <v>-22</v>
      </c>
      <c r="C1128" s="195">
        <v>0</v>
      </c>
      <c r="D1128" s="196" t="s">
        <v>282</v>
      </c>
      <c r="E1128" s="196" t="s">
        <v>324</v>
      </c>
      <c r="F1128" s="195" t="s">
        <v>408</v>
      </c>
      <c r="G1128" s="195" t="s">
        <v>688</v>
      </c>
    </row>
    <row r="1129" spans="1:7">
      <c r="A1129" s="194" t="s">
        <v>536</v>
      </c>
      <c r="B1129" s="195">
        <v>22</v>
      </c>
      <c r="C1129" s="195">
        <v>0</v>
      </c>
      <c r="D1129" s="196" t="s">
        <v>282</v>
      </c>
      <c r="E1129" s="196" t="s">
        <v>324</v>
      </c>
      <c r="F1129" s="195" t="s">
        <v>393</v>
      </c>
      <c r="G1129" s="195" t="s">
        <v>688</v>
      </c>
    </row>
    <row r="1130" spans="1:7">
      <c r="A1130" s="194" t="s">
        <v>536</v>
      </c>
      <c r="B1130" s="195">
        <v>-28</v>
      </c>
      <c r="C1130" s="195">
        <v>0</v>
      </c>
      <c r="D1130" s="196" t="s">
        <v>282</v>
      </c>
      <c r="E1130" s="196" t="s">
        <v>324</v>
      </c>
      <c r="F1130" s="195" t="s">
        <v>441</v>
      </c>
      <c r="G1130" s="195" t="s">
        <v>688</v>
      </c>
    </row>
    <row r="1131" spans="1:7" hidden="1">
      <c r="A1131" s="194" t="s">
        <v>537</v>
      </c>
      <c r="B1131" s="195">
        <v>-724</v>
      </c>
      <c r="C1131" s="195">
        <v>0</v>
      </c>
      <c r="D1131" s="196" t="s">
        <v>283</v>
      </c>
      <c r="E1131" s="196" t="s">
        <v>324</v>
      </c>
      <c r="F1131" s="195" t="s">
        <v>394</v>
      </c>
      <c r="G1131" s="195" t="s">
        <v>688</v>
      </c>
    </row>
    <row r="1132" spans="1:7" hidden="1">
      <c r="A1132" s="194" t="s">
        <v>537</v>
      </c>
      <c r="B1132" s="195">
        <v>60</v>
      </c>
      <c r="C1132" s="195">
        <v>0</v>
      </c>
      <c r="D1132" s="196" t="s">
        <v>283</v>
      </c>
      <c r="E1132" s="196" t="s">
        <v>324</v>
      </c>
      <c r="F1132" s="195" t="s">
        <v>408</v>
      </c>
      <c r="G1132" s="195" t="s">
        <v>688</v>
      </c>
    </row>
    <row r="1133" spans="1:7" hidden="1">
      <c r="A1133" s="194" t="s">
        <v>537</v>
      </c>
      <c r="B1133" s="195">
        <v>787</v>
      </c>
      <c r="C1133" s="195">
        <v>0</v>
      </c>
      <c r="D1133" s="196" t="s">
        <v>283</v>
      </c>
      <c r="E1133" s="196" t="s">
        <v>324</v>
      </c>
      <c r="F1133" s="195" t="s">
        <v>441</v>
      </c>
      <c r="G1133" s="195" t="s">
        <v>688</v>
      </c>
    </row>
    <row r="1134" spans="1:7">
      <c r="A1134" s="194" t="s">
        <v>537</v>
      </c>
      <c r="B1134" s="195">
        <v>724</v>
      </c>
      <c r="C1134" s="195">
        <v>0</v>
      </c>
      <c r="D1134" s="196" t="s">
        <v>282</v>
      </c>
      <c r="E1134" s="196" t="s">
        <v>324</v>
      </c>
      <c r="F1134" s="195" t="s">
        <v>394</v>
      </c>
      <c r="G1134" s="195" t="s">
        <v>688</v>
      </c>
    </row>
    <row r="1135" spans="1:7">
      <c r="A1135" s="194" t="s">
        <v>537</v>
      </c>
      <c r="B1135" s="195">
        <v>128</v>
      </c>
      <c r="C1135" s="195">
        <v>0</v>
      </c>
      <c r="D1135" s="196" t="s">
        <v>282</v>
      </c>
      <c r="E1135" s="196" t="s">
        <v>324</v>
      </c>
      <c r="F1135" s="195" t="s">
        <v>408</v>
      </c>
      <c r="G1135" s="195" t="s">
        <v>688</v>
      </c>
    </row>
    <row r="1136" spans="1:7">
      <c r="A1136" s="194" t="s">
        <v>537</v>
      </c>
      <c r="B1136" s="195">
        <v>57</v>
      </c>
      <c r="C1136" s="195">
        <v>0</v>
      </c>
      <c r="D1136" s="196" t="s">
        <v>282</v>
      </c>
      <c r="E1136" s="196" t="s">
        <v>324</v>
      </c>
      <c r="F1136" s="195" t="s">
        <v>393</v>
      </c>
      <c r="G1136" s="195" t="s">
        <v>688</v>
      </c>
    </row>
    <row r="1137" spans="1:7">
      <c r="A1137" s="194" t="s">
        <v>537</v>
      </c>
      <c r="B1137" s="195">
        <v>-787</v>
      </c>
      <c r="C1137" s="195">
        <v>0</v>
      </c>
      <c r="D1137" s="196" t="s">
        <v>282</v>
      </c>
      <c r="E1137" s="196" t="s">
        <v>324</v>
      </c>
      <c r="F1137" s="195" t="s">
        <v>441</v>
      </c>
      <c r="G1137" s="195" t="s">
        <v>688</v>
      </c>
    </row>
    <row r="1138" spans="1:7" hidden="1">
      <c r="A1138" s="194" t="s">
        <v>538</v>
      </c>
      <c r="B1138" s="195">
        <v>28</v>
      </c>
      <c r="C1138" s="195">
        <v>0</v>
      </c>
      <c r="D1138" s="196" t="s">
        <v>283</v>
      </c>
      <c r="E1138" s="196" t="s">
        <v>324</v>
      </c>
      <c r="F1138" s="195" t="s">
        <v>394</v>
      </c>
      <c r="G1138" s="195" t="s">
        <v>688</v>
      </c>
    </row>
    <row r="1139" spans="1:7" hidden="1">
      <c r="A1139" s="194" t="s">
        <v>538</v>
      </c>
      <c r="B1139" s="195">
        <v>-28</v>
      </c>
      <c r="C1139" s="195">
        <v>0</v>
      </c>
      <c r="D1139" s="196" t="s">
        <v>283</v>
      </c>
      <c r="E1139" s="196" t="s">
        <v>324</v>
      </c>
      <c r="F1139" s="195" t="s">
        <v>441</v>
      </c>
      <c r="G1139" s="195" t="s">
        <v>688</v>
      </c>
    </row>
    <row r="1140" spans="1:7">
      <c r="A1140" s="194" t="s">
        <v>538</v>
      </c>
      <c r="B1140" s="195">
        <v>-28</v>
      </c>
      <c r="C1140" s="195">
        <v>0</v>
      </c>
      <c r="D1140" s="196" t="s">
        <v>282</v>
      </c>
      <c r="E1140" s="196" t="s">
        <v>324</v>
      </c>
      <c r="F1140" s="195" t="s">
        <v>394</v>
      </c>
      <c r="G1140" s="195" t="s">
        <v>688</v>
      </c>
    </row>
    <row r="1141" spans="1:7">
      <c r="A1141" s="194" t="s">
        <v>538</v>
      </c>
      <c r="B1141" s="195">
        <v>22</v>
      </c>
      <c r="C1141" s="195">
        <v>0</v>
      </c>
      <c r="D1141" s="196" t="s">
        <v>282</v>
      </c>
      <c r="E1141" s="196" t="s">
        <v>324</v>
      </c>
      <c r="F1141" s="195" t="s">
        <v>408</v>
      </c>
      <c r="G1141" s="195" t="s">
        <v>688</v>
      </c>
    </row>
    <row r="1142" spans="1:7">
      <c r="A1142" s="194" t="s">
        <v>538</v>
      </c>
      <c r="B1142" s="195">
        <v>-22</v>
      </c>
      <c r="C1142" s="195">
        <v>0</v>
      </c>
      <c r="D1142" s="196" t="s">
        <v>282</v>
      </c>
      <c r="E1142" s="196" t="s">
        <v>324</v>
      </c>
      <c r="F1142" s="195" t="s">
        <v>393</v>
      </c>
      <c r="G1142" s="195" t="s">
        <v>688</v>
      </c>
    </row>
    <row r="1143" spans="1:7">
      <c r="A1143" s="194" t="s">
        <v>538</v>
      </c>
      <c r="B1143" s="195">
        <v>28</v>
      </c>
      <c r="C1143" s="195">
        <v>0</v>
      </c>
      <c r="D1143" s="196" t="s">
        <v>282</v>
      </c>
      <c r="E1143" s="196" t="s">
        <v>324</v>
      </c>
      <c r="F1143" s="195" t="s">
        <v>441</v>
      </c>
      <c r="G1143" s="195" t="s">
        <v>688</v>
      </c>
    </row>
    <row r="1144" spans="1:7" hidden="1">
      <c r="A1144" s="194" t="s">
        <v>539</v>
      </c>
      <c r="B1144" s="195">
        <v>46</v>
      </c>
      <c r="C1144" s="195">
        <v>0</v>
      </c>
      <c r="D1144" s="196" t="s">
        <v>283</v>
      </c>
      <c r="E1144" s="196" t="s">
        <v>324</v>
      </c>
      <c r="F1144" s="195" t="s">
        <v>394</v>
      </c>
      <c r="G1144" s="195" t="s">
        <v>688</v>
      </c>
    </row>
    <row r="1145" spans="1:7" hidden="1">
      <c r="A1145" s="194" t="s">
        <v>539</v>
      </c>
      <c r="B1145" s="195">
        <v>-60</v>
      </c>
      <c r="C1145" s="195">
        <v>0</v>
      </c>
      <c r="D1145" s="196" t="s">
        <v>283</v>
      </c>
      <c r="E1145" s="196" t="s">
        <v>324</v>
      </c>
      <c r="F1145" s="195" t="s">
        <v>408</v>
      </c>
      <c r="G1145" s="195" t="s">
        <v>688</v>
      </c>
    </row>
    <row r="1146" spans="1:7" hidden="1">
      <c r="A1146" s="194" t="s">
        <v>539</v>
      </c>
      <c r="B1146" s="195">
        <v>-63</v>
      </c>
      <c r="C1146" s="195">
        <v>0</v>
      </c>
      <c r="D1146" s="196" t="s">
        <v>283</v>
      </c>
      <c r="E1146" s="196" t="s">
        <v>324</v>
      </c>
      <c r="F1146" s="195" t="s">
        <v>441</v>
      </c>
      <c r="G1146" s="195" t="s">
        <v>688</v>
      </c>
    </row>
    <row r="1147" spans="1:7">
      <c r="A1147" s="194" t="s">
        <v>539</v>
      </c>
      <c r="B1147" s="195">
        <v>-46</v>
      </c>
      <c r="C1147" s="195">
        <v>0</v>
      </c>
      <c r="D1147" s="196" t="s">
        <v>282</v>
      </c>
      <c r="E1147" s="196" t="s">
        <v>324</v>
      </c>
      <c r="F1147" s="195" t="s">
        <v>394</v>
      </c>
      <c r="G1147" s="195" t="s">
        <v>688</v>
      </c>
    </row>
    <row r="1148" spans="1:7">
      <c r="A1148" s="194" t="s">
        <v>539</v>
      </c>
      <c r="B1148" s="195">
        <v>-37</v>
      </c>
      <c r="C1148" s="195">
        <v>0</v>
      </c>
      <c r="D1148" s="196" t="s">
        <v>282</v>
      </c>
      <c r="E1148" s="196" t="s">
        <v>324</v>
      </c>
      <c r="F1148" s="195" t="s">
        <v>408</v>
      </c>
      <c r="G1148" s="195" t="s">
        <v>688</v>
      </c>
    </row>
    <row r="1149" spans="1:7">
      <c r="A1149" s="194" t="s">
        <v>539</v>
      </c>
      <c r="B1149" s="195">
        <v>-58</v>
      </c>
      <c r="C1149" s="195">
        <v>0</v>
      </c>
      <c r="D1149" s="196" t="s">
        <v>282</v>
      </c>
      <c r="E1149" s="196" t="s">
        <v>324</v>
      </c>
      <c r="F1149" s="195" t="s">
        <v>393</v>
      </c>
      <c r="G1149" s="195" t="s">
        <v>688</v>
      </c>
    </row>
    <row r="1150" spans="1:7">
      <c r="A1150" s="194" t="s">
        <v>539</v>
      </c>
      <c r="B1150" s="195">
        <v>63</v>
      </c>
      <c r="C1150" s="195">
        <v>0</v>
      </c>
      <c r="D1150" s="196" t="s">
        <v>282</v>
      </c>
      <c r="E1150" s="196" t="s">
        <v>324</v>
      </c>
      <c r="F1150" s="195" t="s">
        <v>441</v>
      </c>
      <c r="G1150" s="195" t="s">
        <v>688</v>
      </c>
    </row>
    <row r="1151" spans="1:7" hidden="1">
      <c r="A1151" s="194" t="s">
        <v>540</v>
      </c>
      <c r="B1151" s="195">
        <v>-46</v>
      </c>
      <c r="C1151" s="195">
        <v>0</v>
      </c>
      <c r="D1151" s="196" t="s">
        <v>283</v>
      </c>
      <c r="E1151" s="196" t="s">
        <v>324</v>
      </c>
      <c r="F1151" s="195" t="s">
        <v>394</v>
      </c>
      <c r="G1151" s="195" t="s">
        <v>688</v>
      </c>
    </row>
    <row r="1152" spans="1:7">
      <c r="A1152" s="194" t="s">
        <v>540</v>
      </c>
      <c r="B1152" s="195">
        <v>46</v>
      </c>
      <c r="C1152" s="195">
        <v>0</v>
      </c>
      <c r="D1152" s="196" t="s">
        <v>282</v>
      </c>
      <c r="E1152" s="196" t="s">
        <v>324</v>
      </c>
      <c r="F1152" s="195" t="s">
        <v>394</v>
      </c>
      <c r="G1152" s="195" t="s">
        <v>688</v>
      </c>
    </row>
    <row r="1153" spans="1:7">
      <c r="A1153" s="194" t="s">
        <v>540</v>
      </c>
      <c r="B1153" s="195">
        <v>-91</v>
      </c>
      <c r="C1153" s="195">
        <v>0</v>
      </c>
      <c r="D1153" s="196" t="s">
        <v>282</v>
      </c>
      <c r="E1153" s="196" t="s">
        <v>324</v>
      </c>
      <c r="F1153" s="195" t="s">
        <v>408</v>
      </c>
      <c r="G1153" s="195" t="s">
        <v>688</v>
      </c>
    </row>
    <row r="1154" spans="1:7" hidden="1">
      <c r="A1154" s="194" t="s">
        <v>276</v>
      </c>
      <c r="B1154" s="195">
        <v>74</v>
      </c>
      <c r="C1154" s="195">
        <v>0</v>
      </c>
      <c r="D1154" s="196" t="s">
        <v>283</v>
      </c>
      <c r="E1154" s="196" t="s">
        <v>324</v>
      </c>
      <c r="F1154" s="195" t="s">
        <v>394</v>
      </c>
      <c r="G1154" s="195" t="s">
        <v>688</v>
      </c>
    </row>
    <row r="1155" spans="1:7">
      <c r="A1155" s="194" t="s">
        <v>276</v>
      </c>
      <c r="B1155" s="195">
        <v>-74</v>
      </c>
      <c r="C1155" s="195">
        <v>0</v>
      </c>
      <c r="D1155" s="196" t="s">
        <v>282</v>
      </c>
      <c r="E1155" s="196" t="s">
        <v>324</v>
      </c>
      <c r="F1155" s="195" t="s">
        <v>394</v>
      </c>
      <c r="G1155" s="195" t="s">
        <v>688</v>
      </c>
    </row>
    <row r="1156" spans="1:7">
      <c r="A1156" s="194" t="s">
        <v>276</v>
      </c>
      <c r="B1156" s="195">
        <v>147</v>
      </c>
      <c r="C1156" s="195">
        <v>0</v>
      </c>
      <c r="D1156" s="196" t="s">
        <v>282</v>
      </c>
      <c r="E1156" s="196" t="s">
        <v>324</v>
      </c>
      <c r="F1156" s="195" t="s">
        <v>408</v>
      </c>
      <c r="G1156" s="195" t="s">
        <v>688</v>
      </c>
    </row>
    <row r="1157" spans="1:7" hidden="1">
      <c r="A1157" s="194" t="s">
        <v>277</v>
      </c>
      <c r="B1157" s="195">
        <v>-75</v>
      </c>
      <c r="C1157" s="195">
        <v>0</v>
      </c>
      <c r="D1157" s="196" t="s">
        <v>283</v>
      </c>
      <c r="E1157" s="196" t="s">
        <v>324</v>
      </c>
      <c r="F1157" s="195" t="s">
        <v>394</v>
      </c>
      <c r="G1157" s="195" t="s">
        <v>688</v>
      </c>
    </row>
    <row r="1158" spans="1:7">
      <c r="A1158" s="194" t="s">
        <v>277</v>
      </c>
      <c r="B1158" s="195">
        <v>75</v>
      </c>
      <c r="C1158" s="195">
        <v>0</v>
      </c>
      <c r="D1158" s="196" t="s">
        <v>282</v>
      </c>
      <c r="E1158" s="196" t="s">
        <v>324</v>
      </c>
      <c r="F1158" s="195" t="s">
        <v>394</v>
      </c>
      <c r="G1158" s="195" t="s">
        <v>688</v>
      </c>
    </row>
    <row r="1159" spans="1:7">
      <c r="A1159" s="194" t="s">
        <v>277</v>
      </c>
      <c r="B1159" s="195">
        <v>-149</v>
      </c>
      <c r="C1159" s="195">
        <v>0</v>
      </c>
      <c r="D1159" s="196" t="s">
        <v>282</v>
      </c>
      <c r="E1159" s="196" t="s">
        <v>324</v>
      </c>
      <c r="F1159" s="195" t="s">
        <v>408</v>
      </c>
      <c r="G1159" s="195" t="s">
        <v>688</v>
      </c>
    </row>
    <row r="1160" spans="1:7" hidden="1">
      <c r="A1160" s="194" t="s">
        <v>541</v>
      </c>
      <c r="B1160" s="195">
        <v>-40000</v>
      </c>
      <c r="C1160" s="195">
        <v>0</v>
      </c>
      <c r="D1160" s="196" t="s">
        <v>463</v>
      </c>
      <c r="E1160" s="196" t="s">
        <v>464</v>
      </c>
      <c r="F1160" s="195" t="s">
        <v>413</v>
      </c>
      <c r="G1160" s="195" t="s">
        <v>688</v>
      </c>
    </row>
    <row r="1161" spans="1:7" hidden="1">
      <c r="A1161" s="194" t="s">
        <v>541</v>
      </c>
      <c r="B1161" s="195">
        <v>40000</v>
      </c>
      <c r="C1161" s="195">
        <v>0</v>
      </c>
      <c r="D1161" s="196" t="s">
        <v>463</v>
      </c>
      <c r="E1161" s="196" t="s">
        <v>464</v>
      </c>
      <c r="F1161" s="195" t="s">
        <v>469</v>
      </c>
      <c r="G1161" s="195" t="s">
        <v>688</v>
      </c>
    </row>
    <row r="1162" spans="1:7" hidden="1">
      <c r="A1162" s="194" t="s">
        <v>86</v>
      </c>
      <c r="B1162" s="195">
        <v>72</v>
      </c>
      <c r="C1162" s="195">
        <v>0</v>
      </c>
      <c r="D1162" s="196" t="s">
        <v>283</v>
      </c>
      <c r="E1162" s="196" t="s">
        <v>317</v>
      </c>
      <c r="F1162" s="195" t="s">
        <v>394</v>
      </c>
      <c r="G1162" s="195" t="s">
        <v>688</v>
      </c>
    </row>
    <row r="1163" spans="1:7" hidden="1">
      <c r="A1163" s="194" t="s">
        <v>86</v>
      </c>
      <c r="B1163" s="195">
        <v>-72</v>
      </c>
      <c r="C1163" s="195">
        <v>0</v>
      </c>
      <c r="D1163" s="196" t="s">
        <v>283</v>
      </c>
      <c r="E1163" s="196" t="s">
        <v>317</v>
      </c>
      <c r="F1163" s="195" t="s">
        <v>441</v>
      </c>
      <c r="G1163" s="195" t="s">
        <v>688</v>
      </c>
    </row>
    <row r="1164" spans="1:7">
      <c r="A1164" s="194" t="s">
        <v>86</v>
      </c>
      <c r="B1164" s="195">
        <v>334</v>
      </c>
      <c r="C1164" s="195">
        <v>0</v>
      </c>
      <c r="D1164" s="196" t="s">
        <v>282</v>
      </c>
      <c r="E1164" s="196" t="s">
        <v>317</v>
      </c>
      <c r="F1164" s="195" t="s">
        <v>394</v>
      </c>
      <c r="G1164" s="195" t="s">
        <v>688</v>
      </c>
    </row>
    <row r="1165" spans="1:7">
      <c r="A1165" s="194" t="s">
        <v>86</v>
      </c>
      <c r="B1165" s="195">
        <v>48</v>
      </c>
      <c r="C1165" s="195">
        <v>0</v>
      </c>
      <c r="D1165" s="196" t="s">
        <v>282</v>
      </c>
      <c r="E1165" s="196" t="s">
        <v>317</v>
      </c>
      <c r="F1165" s="195" t="s">
        <v>445</v>
      </c>
      <c r="G1165" s="195" t="s">
        <v>688</v>
      </c>
    </row>
    <row r="1166" spans="1:7">
      <c r="A1166" s="194" t="s">
        <v>86</v>
      </c>
      <c r="B1166" s="195">
        <v>-454</v>
      </c>
      <c r="C1166" s="195">
        <v>0</v>
      </c>
      <c r="D1166" s="196" t="s">
        <v>282</v>
      </c>
      <c r="E1166" s="196" t="s">
        <v>317</v>
      </c>
      <c r="F1166" s="195" t="s">
        <v>393</v>
      </c>
      <c r="G1166" s="195" t="s">
        <v>688</v>
      </c>
    </row>
    <row r="1167" spans="1:7">
      <c r="A1167" s="194" t="s">
        <v>86</v>
      </c>
      <c r="B1167" s="195">
        <v>72</v>
      </c>
      <c r="C1167" s="195">
        <v>0</v>
      </c>
      <c r="D1167" s="196" t="s">
        <v>282</v>
      </c>
      <c r="E1167" s="196" t="s">
        <v>317</v>
      </c>
      <c r="F1167" s="195" t="s">
        <v>441</v>
      </c>
      <c r="G1167" s="195" t="s">
        <v>688</v>
      </c>
    </row>
    <row r="1168" spans="1:7" hidden="1">
      <c r="A1168" s="194" t="s">
        <v>543</v>
      </c>
      <c r="B1168" s="195">
        <v>83</v>
      </c>
      <c r="C1168" s="195">
        <v>0</v>
      </c>
      <c r="D1168" s="196" t="s">
        <v>283</v>
      </c>
      <c r="E1168" s="196" t="s">
        <v>317</v>
      </c>
      <c r="F1168" s="195" t="s">
        <v>413</v>
      </c>
      <c r="G1168" s="195" t="s">
        <v>688</v>
      </c>
    </row>
    <row r="1169" spans="1:7" hidden="1">
      <c r="A1169" s="194" t="s">
        <v>543</v>
      </c>
      <c r="B1169" s="195">
        <v>-83</v>
      </c>
      <c r="C1169" s="195">
        <v>0</v>
      </c>
      <c r="D1169" s="196" t="s">
        <v>283</v>
      </c>
      <c r="E1169" s="196" t="s">
        <v>317</v>
      </c>
      <c r="F1169" s="195" t="s">
        <v>441</v>
      </c>
      <c r="G1169" s="195" t="s">
        <v>688</v>
      </c>
    </row>
    <row r="1170" spans="1:7">
      <c r="A1170" s="194" t="s">
        <v>543</v>
      </c>
      <c r="B1170" s="195">
        <v>-83</v>
      </c>
      <c r="C1170" s="195">
        <v>0</v>
      </c>
      <c r="D1170" s="196" t="s">
        <v>282</v>
      </c>
      <c r="E1170" s="196" t="s">
        <v>317</v>
      </c>
      <c r="F1170" s="195" t="s">
        <v>413</v>
      </c>
      <c r="G1170" s="195" t="s">
        <v>688</v>
      </c>
    </row>
    <row r="1171" spans="1:7">
      <c r="A1171" s="194" t="s">
        <v>543</v>
      </c>
      <c r="B1171" s="195">
        <v>83</v>
      </c>
      <c r="C1171" s="195">
        <v>0</v>
      </c>
      <c r="D1171" s="196" t="s">
        <v>282</v>
      </c>
      <c r="E1171" s="196" t="s">
        <v>317</v>
      </c>
      <c r="F1171" s="195" t="s">
        <v>441</v>
      </c>
      <c r="G1171" s="195" t="s">
        <v>688</v>
      </c>
    </row>
    <row r="1172" spans="1:7" hidden="1">
      <c r="A1172" s="194" t="s">
        <v>544</v>
      </c>
      <c r="B1172" s="195">
        <v>-148</v>
      </c>
      <c r="C1172" s="195">
        <v>0</v>
      </c>
      <c r="D1172" s="196" t="s">
        <v>440</v>
      </c>
      <c r="E1172" s="196" t="s">
        <v>317</v>
      </c>
      <c r="F1172" s="195" t="s">
        <v>394</v>
      </c>
      <c r="G1172" s="195" t="s">
        <v>688</v>
      </c>
    </row>
    <row r="1173" spans="1:7" hidden="1">
      <c r="A1173" s="194" t="s">
        <v>544</v>
      </c>
      <c r="B1173" s="195">
        <v>229</v>
      </c>
      <c r="C1173" s="195">
        <v>0</v>
      </c>
      <c r="D1173" s="196" t="s">
        <v>440</v>
      </c>
      <c r="E1173" s="196" t="s">
        <v>317</v>
      </c>
      <c r="F1173" s="195" t="s">
        <v>407</v>
      </c>
      <c r="G1173" s="195" t="s">
        <v>688</v>
      </c>
    </row>
    <row r="1174" spans="1:7" hidden="1">
      <c r="A1174" s="194" t="s">
        <v>544</v>
      </c>
      <c r="B1174" s="195">
        <v>69</v>
      </c>
      <c r="C1174" s="195">
        <v>0</v>
      </c>
      <c r="D1174" s="196" t="s">
        <v>442</v>
      </c>
      <c r="E1174" s="196" t="s">
        <v>317</v>
      </c>
      <c r="F1174" s="195" t="s">
        <v>394</v>
      </c>
      <c r="G1174" s="195" t="s">
        <v>688</v>
      </c>
    </row>
    <row r="1175" spans="1:7" hidden="1">
      <c r="A1175" s="194" t="s">
        <v>544</v>
      </c>
      <c r="B1175" s="195">
        <v>81</v>
      </c>
      <c r="C1175" s="195">
        <v>0</v>
      </c>
      <c r="D1175" s="196" t="s">
        <v>474</v>
      </c>
      <c r="E1175" s="196" t="s">
        <v>317</v>
      </c>
      <c r="F1175" s="195" t="s">
        <v>394</v>
      </c>
      <c r="G1175" s="195" t="s">
        <v>688</v>
      </c>
    </row>
    <row r="1176" spans="1:7" hidden="1">
      <c r="A1176" s="194" t="s">
        <v>546</v>
      </c>
      <c r="B1176" s="195">
        <v>32</v>
      </c>
      <c r="C1176" s="195">
        <v>0</v>
      </c>
      <c r="D1176" s="196" t="s">
        <v>437</v>
      </c>
      <c r="E1176" s="196" t="s">
        <v>547</v>
      </c>
      <c r="F1176" s="195" t="s">
        <v>394</v>
      </c>
      <c r="G1176" s="195" t="s">
        <v>688</v>
      </c>
    </row>
    <row r="1177" spans="1:7" hidden="1">
      <c r="A1177" s="194" t="s">
        <v>326</v>
      </c>
      <c r="B1177" s="195">
        <v>112</v>
      </c>
      <c r="C1177" s="195">
        <v>0</v>
      </c>
      <c r="D1177" s="196" t="s">
        <v>283</v>
      </c>
      <c r="E1177" s="196" t="s">
        <v>317</v>
      </c>
      <c r="F1177" s="195" t="s">
        <v>394</v>
      </c>
      <c r="G1177" s="195" t="s">
        <v>688</v>
      </c>
    </row>
    <row r="1178" spans="1:7" hidden="1">
      <c r="A1178" s="194" t="s">
        <v>326</v>
      </c>
      <c r="B1178" s="195">
        <v>-113</v>
      </c>
      <c r="C1178" s="195">
        <v>0</v>
      </c>
      <c r="D1178" s="196" t="s">
        <v>283</v>
      </c>
      <c r="E1178" s="196" t="s">
        <v>317</v>
      </c>
      <c r="F1178" s="195" t="s">
        <v>441</v>
      </c>
      <c r="G1178" s="195" t="s">
        <v>688</v>
      </c>
    </row>
    <row r="1179" spans="1:7" hidden="1">
      <c r="A1179" s="194" t="s">
        <v>326</v>
      </c>
      <c r="B1179" s="195">
        <v>675</v>
      </c>
      <c r="C1179" s="195">
        <v>0</v>
      </c>
      <c r="D1179" s="196" t="s">
        <v>437</v>
      </c>
      <c r="E1179" s="196" t="s">
        <v>317</v>
      </c>
      <c r="F1179" s="195" t="s">
        <v>394</v>
      </c>
      <c r="G1179" s="195" t="s">
        <v>688</v>
      </c>
    </row>
    <row r="1180" spans="1:7" hidden="1">
      <c r="A1180" s="194" t="s">
        <v>326</v>
      </c>
      <c r="B1180" s="195">
        <v>-675</v>
      </c>
      <c r="C1180" s="195">
        <v>0</v>
      </c>
      <c r="D1180" s="196" t="s">
        <v>437</v>
      </c>
      <c r="E1180" s="196" t="s">
        <v>317</v>
      </c>
      <c r="F1180" s="195" t="s">
        <v>441</v>
      </c>
      <c r="G1180" s="195" t="s">
        <v>688</v>
      </c>
    </row>
    <row r="1181" spans="1:7">
      <c r="A1181" s="194" t="s">
        <v>326</v>
      </c>
      <c r="B1181" s="195">
        <v>-125</v>
      </c>
      <c r="C1181" s="195">
        <v>0</v>
      </c>
      <c r="D1181" s="196" t="s">
        <v>282</v>
      </c>
      <c r="E1181" s="196" t="s">
        <v>317</v>
      </c>
      <c r="F1181" s="195" t="s">
        <v>394</v>
      </c>
      <c r="G1181" s="195" t="s">
        <v>688</v>
      </c>
    </row>
    <row r="1182" spans="1:7">
      <c r="A1182" s="194" t="s">
        <v>326</v>
      </c>
      <c r="B1182" s="195">
        <v>-175</v>
      </c>
      <c r="C1182" s="195">
        <v>0</v>
      </c>
      <c r="D1182" s="196" t="s">
        <v>282</v>
      </c>
      <c r="E1182" s="196" t="s">
        <v>317</v>
      </c>
      <c r="F1182" s="195" t="s">
        <v>445</v>
      </c>
      <c r="G1182" s="195" t="s">
        <v>688</v>
      </c>
    </row>
    <row r="1183" spans="1:7">
      <c r="A1183" s="194" t="s">
        <v>326</v>
      </c>
      <c r="B1183" s="195">
        <v>-145</v>
      </c>
      <c r="C1183" s="195">
        <v>0</v>
      </c>
      <c r="D1183" s="196" t="s">
        <v>282</v>
      </c>
      <c r="E1183" s="196" t="s">
        <v>317</v>
      </c>
      <c r="F1183" s="195" t="s">
        <v>408</v>
      </c>
      <c r="G1183" s="195" t="s">
        <v>688</v>
      </c>
    </row>
    <row r="1184" spans="1:7">
      <c r="A1184" s="194" t="s">
        <v>326</v>
      </c>
      <c r="B1184" s="195">
        <v>-768</v>
      </c>
      <c r="C1184" s="195">
        <v>0</v>
      </c>
      <c r="D1184" s="196" t="s">
        <v>282</v>
      </c>
      <c r="E1184" s="196" t="s">
        <v>317</v>
      </c>
      <c r="F1184" s="195" t="s">
        <v>393</v>
      </c>
      <c r="G1184" s="195" t="s">
        <v>688</v>
      </c>
    </row>
    <row r="1185" spans="1:7">
      <c r="A1185" s="194" t="s">
        <v>326</v>
      </c>
      <c r="B1185" s="195">
        <v>426</v>
      </c>
      <c r="C1185" s="195">
        <v>0</v>
      </c>
      <c r="D1185" s="196" t="s">
        <v>282</v>
      </c>
      <c r="E1185" s="196" t="s">
        <v>317</v>
      </c>
      <c r="F1185" s="195" t="s">
        <v>413</v>
      </c>
      <c r="G1185" s="195" t="s">
        <v>688</v>
      </c>
    </row>
    <row r="1186" spans="1:7">
      <c r="A1186" s="194" t="s">
        <v>326</v>
      </c>
      <c r="B1186" s="195">
        <v>788</v>
      </c>
      <c r="C1186" s="195">
        <v>0</v>
      </c>
      <c r="D1186" s="196" t="s">
        <v>282</v>
      </c>
      <c r="E1186" s="196" t="s">
        <v>317</v>
      </c>
      <c r="F1186" s="195" t="s">
        <v>441</v>
      </c>
      <c r="G1186" s="195" t="s">
        <v>688</v>
      </c>
    </row>
    <row r="1187" spans="1:7" hidden="1">
      <c r="A1187" s="194" t="s">
        <v>548</v>
      </c>
      <c r="B1187" s="195">
        <v>-1</v>
      </c>
      <c r="C1187" s="195">
        <v>0</v>
      </c>
      <c r="D1187" s="196" t="s">
        <v>283</v>
      </c>
      <c r="E1187" s="196" t="s">
        <v>319</v>
      </c>
      <c r="F1187" s="195" t="s">
        <v>394</v>
      </c>
      <c r="G1187" s="195" t="s">
        <v>688</v>
      </c>
    </row>
    <row r="1188" spans="1:7" hidden="1">
      <c r="A1188" s="194" t="s">
        <v>548</v>
      </c>
      <c r="B1188" s="195">
        <v>1</v>
      </c>
      <c r="C1188" s="195">
        <v>0</v>
      </c>
      <c r="D1188" s="196" t="s">
        <v>283</v>
      </c>
      <c r="E1188" s="196" t="s">
        <v>319</v>
      </c>
      <c r="F1188" s="195" t="s">
        <v>408</v>
      </c>
      <c r="G1188" s="195" t="s">
        <v>688</v>
      </c>
    </row>
    <row r="1189" spans="1:7">
      <c r="A1189" s="194" t="s">
        <v>548</v>
      </c>
      <c r="B1189" s="195">
        <v>8</v>
      </c>
      <c r="C1189" s="195">
        <v>0</v>
      </c>
      <c r="D1189" s="196" t="s">
        <v>282</v>
      </c>
      <c r="E1189" s="196" t="s">
        <v>319</v>
      </c>
      <c r="F1189" s="195" t="s">
        <v>394</v>
      </c>
      <c r="G1189" s="195" t="s">
        <v>688</v>
      </c>
    </row>
    <row r="1190" spans="1:7">
      <c r="A1190" s="194" t="s">
        <v>548</v>
      </c>
      <c r="B1190" s="195">
        <v>1</v>
      </c>
      <c r="C1190" s="195">
        <v>0</v>
      </c>
      <c r="D1190" s="196" t="s">
        <v>282</v>
      </c>
      <c r="E1190" s="196" t="s">
        <v>319</v>
      </c>
      <c r="F1190" s="195" t="s">
        <v>408</v>
      </c>
      <c r="G1190" s="195" t="s">
        <v>688</v>
      </c>
    </row>
    <row r="1191" spans="1:7">
      <c r="A1191" s="194" t="s">
        <v>548</v>
      </c>
      <c r="B1191" s="195">
        <v>-9</v>
      </c>
      <c r="C1191" s="195">
        <v>0</v>
      </c>
      <c r="D1191" s="196" t="s">
        <v>282</v>
      </c>
      <c r="E1191" s="196" t="s">
        <v>319</v>
      </c>
      <c r="F1191" s="195" t="s">
        <v>393</v>
      </c>
      <c r="G1191" s="195" t="s">
        <v>688</v>
      </c>
    </row>
    <row r="1192" spans="1:7" hidden="1">
      <c r="A1192" s="194" t="s">
        <v>549</v>
      </c>
      <c r="B1192" s="195">
        <v>1</v>
      </c>
      <c r="C1192" s="195">
        <v>0</v>
      </c>
      <c r="D1192" s="196" t="s">
        <v>283</v>
      </c>
      <c r="E1192" s="196" t="s">
        <v>319</v>
      </c>
      <c r="F1192" s="195" t="s">
        <v>394</v>
      </c>
      <c r="G1192" s="195" t="s">
        <v>688</v>
      </c>
    </row>
    <row r="1193" spans="1:7" hidden="1">
      <c r="A1193" s="194" t="s">
        <v>549</v>
      </c>
      <c r="B1193" s="195">
        <v>-1</v>
      </c>
      <c r="C1193" s="195">
        <v>0</v>
      </c>
      <c r="D1193" s="196" t="s">
        <v>283</v>
      </c>
      <c r="E1193" s="196" t="s">
        <v>319</v>
      </c>
      <c r="F1193" s="195" t="s">
        <v>408</v>
      </c>
      <c r="G1193" s="195" t="s">
        <v>688</v>
      </c>
    </row>
    <row r="1194" spans="1:7">
      <c r="A1194" s="194" t="s">
        <v>549</v>
      </c>
      <c r="B1194" s="195">
        <v>-7</v>
      </c>
      <c r="C1194" s="195">
        <v>0</v>
      </c>
      <c r="D1194" s="196" t="s">
        <v>282</v>
      </c>
      <c r="E1194" s="196" t="s">
        <v>319</v>
      </c>
      <c r="F1194" s="195" t="s">
        <v>394</v>
      </c>
      <c r="G1194" s="195" t="s">
        <v>688</v>
      </c>
    </row>
    <row r="1195" spans="1:7">
      <c r="A1195" s="194" t="s">
        <v>549</v>
      </c>
      <c r="B1195" s="195">
        <v>-1</v>
      </c>
      <c r="C1195" s="195">
        <v>0</v>
      </c>
      <c r="D1195" s="196" t="s">
        <v>282</v>
      </c>
      <c r="E1195" s="196" t="s">
        <v>319</v>
      </c>
      <c r="F1195" s="195" t="s">
        <v>408</v>
      </c>
      <c r="G1195" s="195" t="s">
        <v>688</v>
      </c>
    </row>
    <row r="1196" spans="1:7">
      <c r="A1196" s="194" t="s">
        <v>549</v>
      </c>
      <c r="B1196" s="195">
        <v>8</v>
      </c>
      <c r="C1196" s="195">
        <v>0</v>
      </c>
      <c r="D1196" s="196" t="s">
        <v>282</v>
      </c>
      <c r="E1196" s="196" t="s">
        <v>319</v>
      </c>
      <c r="F1196" s="195" t="s">
        <v>393</v>
      </c>
      <c r="G1196" s="195" t="s">
        <v>688</v>
      </c>
    </row>
    <row r="1197" spans="1:7" hidden="1">
      <c r="A1197" s="194" t="s">
        <v>550</v>
      </c>
      <c r="B1197" s="195">
        <v>-1</v>
      </c>
      <c r="C1197" s="195">
        <v>0</v>
      </c>
      <c r="D1197" s="196" t="s">
        <v>283</v>
      </c>
      <c r="E1197" s="196" t="s">
        <v>324</v>
      </c>
      <c r="F1197" s="195" t="s">
        <v>394</v>
      </c>
      <c r="G1197" s="195" t="s">
        <v>688</v>
      </c>
    </row>
    <row r="1198" spans="1:7">
      <c r="A1198" s="194" t="s">
        <v>550</v>
      </c>
      <c r="B1198" s="195">
        <v>1</v>
      </c>
      <c r="C1198" s="195">
        <v>0</v>
      </c>
      <c r="D1198" s="196" t="s">
        <v>282</v>
      </c>
      <c r="E1198" s="196" t="s">
        <v>324</v>
      </c>
      <c r="F1198" s="195" t="s">
        <v>394</v>
      </c>
      <c r="G1198" s="195" t="s">
        <v>688</v>
      </c>
    </row>
    <row r="1199" spans="1:7">
      <c r="A1199" s="194" t="s">
        <v>550</v>
      </c>
      <c r="B1199" s="195">
        <v>10</v>
      </c>
      <c r="C1199" s="195">
        <v>0</v>
      </c>
      <c r="D1199" s="196" t="s">
        <v>282</v>
      </c>
      <c r="E1199" s="196" t="s">
        <v>324</v>
      </c>
      <c r="F1199" s="195" t="s">
        <v>408</v>
      </c>
      <c r="G1199" s="195" t="s">
        <v>688</v>
      </c>
    </row>
    <row r="1200" spans="1:7">
      <c r="A1200" s="194" t="s">
        <v>550</v>
      </c>
      <c r="B1200" s="195">
        <v>-10</v>
      </c>
      <c r="C1200" s="195">
        <v>0</v>
      </c>
      <c r="D1200" s="196" t="s">
        <v>282</v>
      </c>
      <c r="E1200" s="196" t="s">
        <v>324</v>
      </c>
      <c r="F1200" s="195" t="s">
        <v>393</v>
      </c>
      <c r="G1200" s="195" t="s">
        <v>688</v>
      </c>
    </row>
    <row r="1201" spans="1:7">
      <c r="A1201" s="194" t="s">
        <v>551</v>
      </c>
      <c r="B1201" s="195">
        <v>-9</v>
      </c>
      <c r="C1201" s="195">
        <v>0</v>
      </c>
      <c r="D1201" s="196" t="s">
        <v>282</v>
      </c>
      <c r="E1201" s="196" t="s">
        <v>324</v>
      </c>
      <c r="F1201" s="195" t="s">
        <v>408</v>
      </c>
      <c r="G1201" s="195" t="s">
        <v>688</v>
      </c>
    </row>
    <row r="1202" spans="1:7">
      <c r="A1202" s="194" t="s">
        <v>551</v>
      </c>
      <c r="B1202" s="195">
        <v>9</v>
      </c>
      <c r="C1202" s="195">
        <v>0</v>
      </c>
      <c r="D1202" s="196" t="s">
        <v>282</v>
      </c>
      <c r="E1202" s="196" t="s">
        <v>324</v>
      </c>
      <c r="F1202" s="195" t="s">
        <v>393</v>
      </c>
      <c r="G1202" s="195" t="s">
        <v>688</v>
      </c>
    </row>
    <row r="1203" spans="1:7" hidden="1">
      <c r="A1203" s="194" t="s">
        <v>552</v>
      </c>
      <c r="B1203" s="195">
        <v>4</v>
      </c>
      <c r="C1203" s="195">
        <v>0</v>
      </c>
      <c r="D1203" s="196" t="s">
        <v>437</v>
      </c>
      <c r="E1203" s="196" t="s">
        <v>553</v>
      </c>
      <c r="F1203" s="195" t="s">
        <v>394</v>
      </c>
      <c r="G1203" s="195" t="s">
        <v>688</v>
      </c>
    </row>
    <row r="1204" spans="1:7">
      <c r="A1204" s="194" t="s">
        <v>357</v>
      </c>
      <c r="B1204" s="195">
        <v>4369</v>
      </c>
      <c r="C1204" s="195">
        <v>0</v>
      </c>
      <c r="D1204" s="196" t="s">
        <v>282</v>
      </c>
      <c r="E1204" s="196" t="s">
        <v>320</v>
      </c>
      <c r="F1204" s="195" t="s">
        <v>394</v>
      </c>
      <c r="G1204" s="195" t="s">
        <v>688</v>
      </c>
    </row>
    <row r="1205" spans="1:7">
      <c r="A1205" s="194" t="s">
        <v>357</v>
      </c>
      <c r="B1205" s="195">
        <v>-1401</v>
      </c>
      <c r="C1205" s="195">
        <v>0</v>
      </c>
      <c r="D1205" s="196" t="s">
        <v>282</v>
      </c>
      <c r="E1205" s="196" t="s">
        <v>320</v>
      </c>
      <c r="F1205" s="195" t="s">
        <v>393</v>
      </c>
      <c r="G1205" s="195" t="s">
        <v>688</v>
      </c>
    </row>
    <row r="1206" spans="1:7">
      <c r="A1206" s="194" t="s">
        <v>357</v>
      </c>
      <c r="B1206" s="195">
        <v>664</v>
      </c>
      <c r="C1206" s="195">
        <v>0</v>
      </c>
      <c r="D1206" s="196" t="s">
        <v>282</v>
      </c>
      <c r="E1206" s="196" t="s">
        <v>320</v>
      </c>
      <c r="F1206" s="195" t="s">
        <v>413</v>
      </c>
      <c r="G1206" s="195" t="s">
        <v>688</v>
      </c>
    </row>
    <row r="1207" spans="1:7">
      <c r="A1207" s="194" t="s">
        <v>357</v>
      </c>
      <c r="B1207" s="195">
        <v>-3632</v>
      </c>
      <c r="C1207" s="195">
        <v>0</v>
      </c>
      <c r="D1207" s="196" t="s">
        <v>282</v>
      </c>
      <c r="E1207" s="196" t="s">
        <v>320</v>
      </c>
      <c r="F1207" s="195" t="s">
        <v>403</v>
      </c>
      <c r="G1207" s="195" t="s">
        <v>688</v>
      </c>
    </row>
    <row r="1208" spans="1:7" hidden="1">
      <c r="A1208" s="194" t="s">
        <v>712</v>
      </c>
      <c r="B1208" s="195">
        <v>62000</v>
      </c>
      <c r="C1208" s="195">
        <v>0</v>
      </c>
      <c r="D1208" s="196" t="s">
        <v>463</v>
      </c>
      <c r="E1208" s="196" t="s">
        <v>464</v>
      </c>
      <c r="F1208" s="195" t="s">
        <v>394</v>
      </c>
      <c r="G1208" s="195" t="s">
        <v>688</v>
      </c>
    </row>
    <row r="1209" spans="1:7" hidden="1">
      <c r="A1209" s="194" t="s">
        <v>712</v>
      </c>
      <c r="B1209" s="195">
        <v>-117000</v>
      </c>
      <c r="C1209" s="195">
        <v>0</v>
      </c>
      <c r="D1209" s="196" t="s">
        <v>463</v>
      </c>
      <c r="E1209" s="196" t="s">
        <v>464</v>
      </c>
      <c r="F1209" s="195" t="s">
        <v>468</v>
      </c>
      <c r="G1209" s="195" t="s">
        <v>688</v>
      </c>
    </row>
    <row r="1210" spans="1:7" hidden="1">
      <c r="A1210" s="194" t="s">
        <v>712</v>
      </c>
      <c r="B1210" s="195">
        <v>55000</v>
      </c>
      <c r="C1210" s="195">
        <v>0</v>
      </c>
      <c r="D1210" s="196" t="s">
        <v>463</v>
      </c>
      <c r="E1210" s="196" t="s">
        <v>464</v>
      </c>
      <c r="F1210" s="195" t="s">
        <v>469</v>
      </c>
      <c r="G1210" s="195" t="s">
        <v>688</v>
      </c>
    </row>
    <row r="1211" spans="1:7" hidden="1">
      <c r="A1211" s="194" t="s">
        <v>554</v>
      </c>
      <c r="B1211" s="195">
        <v>-81000</v>
      </c>
      <c r="C1211" s="195">
        <v>0</v>
      </c>
      <c r="D1211" s="196" t="s">
        <v>463</v>
      </c>
      <c r="E1211" s="196" t="s">
        <v>464</v>
      </c>
      <c r="F1211" s="195" t="s">
        <v>394</v>
      </c>
      <c r="G1211" s="195" t="s">
        <v>688</v>
      </c>
    </row>
    <row r="1212" spans="1:7" hidden="1">
      <c r="A1212" s="194" t="s">
        <v>554</v>
      </c>
      <c r="B1212" s="195">
        <v>29000</v>
      </c>
      <c r="C1212" s="195">
        <v>0</v>
      </c>
      <c r="D1212" s="196" t="s">
        <v>463</v>
      </c>
      <c r="E1212" s="196" t="s">
        <v>464</v>
      </c>
      <c r="F1212" s="195" t="s">
        <v>413</v>
      </c>
      <c r="G1212" s="195" t="s">
        <v>688</v>
      </c>
    </row>
    <row r="1213" spans="1:7" hidden="1">
      <c r="A1213" s="194" t="s">
        <v>554</v>
      </c>
      <c r="B1213" s="195">
        <v>52000</v>
      </c>
      <c r="C1213" s="195">
        <v>0</v>
      </c>
      <c r="D1213" s="196" t="s">
        <v>463</v>
      </c>
      <c r="E1213" s="196" t="s">
        <v>464</v>
      </c>
      <c r="F1213" s="195" t="s">
        <v>469</v>
      </c>
      <c r="G1213" s="195" t="s">
        <v>688</v>
      </c>
    </row>
    <row r="1214" spans="1:7">
      <c r="A1214" s="194" t="s">
        <v>555</v>
      </c>
      <c r="B1214" s="195">
        <v>-14</v>
      </c>
      <c r="C1214" s="195">
        <v>0</v>
      </c>
      <c r="D1214" s="196" t="s">
        <v>282</v>
      </c>
      <c r="E1214" s="196" t="s">
        <v>319</v>
      </c>
      <c r="F1214" s="195" t="s">
        <v>408</v>
      </c>
      <c r="G1214" s="195" t="s">
        <v>688</v>
      </c>
    </row>
    <row r="1215" spans="1:7">
      <c r="A1215" s="194" t="s">
        <v>555</v>
      </c>
      <c r="B1215" s="195">
        <v>14</v>
      </c>
      <c r="C1215" s="195">
        <v>0</v>
      </c>
      <c r="D1215" s="196" t="s">
        <v>282</v>
      </c>
      <c r="E1215" s="196" t="s">
        <v>319</v>
      </c>
      <c r="F1215" s="195" t="s">
        <v>393</v>
      </c>
      <c r="G1215" s="195" t="s">
        <v>688</v>
      </c>
    </row>
    <row r="1216" spans="1:7" hidden="1">
      <c r="A1216" s="194" t="s">
        <v>138</v>
      </c>
      <c r="B1216" s="195">
        <v>401</v>
      </c>
      <c r="C1216" s="195">
        <v>0</v>
      </c>
      <c r="D1216" s="196" t="s">
        <v>283</v>
      </c>
      <c r="E1216" s="196" t="s">
        <v>317</v>
      </c>
      <c r="F1216" s="195" t="s">
        <v>394</v>
      </c>
      <c r="G1216" s="195" t="s">
        <v>688</v>
      </c>
    </row>
    <row r="1217" spans="1:7" hidden="1">
      <c r="A1217" s="194" t="s">
        <v>138</v>
      </c>
      <c r="B1217" s="195">
        <v>240</v>
      </c>
      <c r="C1217" s="195">
        <v>0</v>
      </c>
      <c r="D1217" s="196" t="s">
        <v>283</v>
      </c>
      <c r="E1217" s="196" t="s">
        <v>317</v>
      </c>
      <c r="F1217" s="195" t="s">
        <v>413</v>
      </c>
      <c r="G1217" s="195" t="s">
        <v>688</v>
      </c>
    </row>
    <row r="1218" spans="1:7" hidden="1">
      <c r="A1218" s="194" t="s">
        <v>138</v>
      </c>
      <c r="B1218" s="195">
        <v>-641</v>
      </c>
      <c r="C1218" s="195">
        <v>0</v>
      </c>
      <c r="D1218" s="196" t="s">
        <v>283</v>
      </c>
      <c r="E1218" s="196" t="s">
        <v>317</v>
      </c>
      <c r="F1218" s="195" t="s">
        <v>441</v>
      </c>
      <c r="G1218" s="195" t="s">
        <v>688</v>
      </c>
    </row>
    <row r="1219" spans="1:7">
      <c r="A1219" s="194" t="s">
        <v>138</v>
      </c>
      <c r="B1219" s="195">
        <v>-1276</v>
      </c>
      <c r="C1219" s="195">
        <v>0</v>
      </c>
      <c r="D1219" s="196" t="s">
        <v>282</v>
      </c>
      <c r="E1219" s="196" t="s">
        <v>317</v>
      </c>
      <c r="F1219" s="195" t="s">
        <v>394</v>
      </c>
      <c r="G1219" s="195" t="s">
        <v>688</v>
      </c>
    </row>
    <row r="1220" spans="1:7">
      <c r="A1220" s="194" t="s">
        <v>138</v>
      </c>
      <c r="B1220" s="195">
        <v>-257</v>
      </c>
      <c r="C1220" s="195">
        <v>0</v>
      </c>
      <c r="D1220" s="196" t="s">
        <v>282</v>
      </c>
      <c r="E1220" s="196" t="s">
        <v>317</v>
      </c>
      <c r="F1220" s="195" t="s">
        <v>408</v>
      </c>
      <c r="G1220" s="195" t="s">
        <v>688</v>
      </c>
    </row>
    <row r="1221" spans="1:7">
      <c r="A1221" s="194" t="s">
        <v>138</v>
      </c>
      <c r="B1221" s="195">
        <v>1209</v>
      </c>
      <c r="C1221" s="195">
        <v>0</v>
      </c>
      <c r="D1221" s="196" t="s">
        <v>282</v>
      </c>
      <c r="E1221" s="196" t="s">
        <v>317</v>
      </c>
      <c r="F1221" s="195" t="s">
        <v>393</v>
      </c>
      <c r="G1221" s="195" t="s">
        <v>688</v>
      </c>
    </row>
    <row r="1222" spans="1:7">
      <c r="A1222" s="194" t="s">
        <v>138</v>
      </c>
      <c r="B1222" s="195">
        <v>240</v>
      </c>
      <c r="C1222" s="195">
        <v>0</v>
      </c>
      <c r="D1222" s="196" t="s">
        <v>282</v>
      </c>
      <c r="E1222" s="196" t="s">
        <v>317</v>
      </c>
      <c r="F1222" s="195" t="s">
        <v>413</v>
      </c>
      <c r="G1222" s="195" t="s">
        <v>688</v>
      </c>
    </row>
    <row r="1223" spans="1:7">
      <c r="A1223" s="194" t="s">
        <v>138</v>
      </c>
      <c r="B1223" s="195">
        <v>-557</v>
      </c>
      <c r="C1223" s="195">
        <v>0</v>
      </c>
      <c r="D1223" s="196" t="s">
        <v>282</v>
      </c>
      <c r="E1223" s="196" t="s">
        <v>317</v>
      </c>
      <c r="F1223" s="195" t="s">
        <v>403</v>
      </c>
      <c r="G1223" s="195" t="s">
        <v>688</v>
      </c>
    </row>
    <row r="1224" spans="1:7">
      <c r="A1224" s="194" t="s">
        <v>138</v>
      </c>
      <c r="B1224" s="195">
        <v>641</v>
      </c>
      <c r="C1224" s="195">
        <v>0</v>
      </c>
      <c r="D1224" s="196" t="s">
        <v>282</v>
      </c>
      <c r="E1224" s="196" t="s">
        <v>317</v>
      </c>
      <c r="F1224" s="195" t="s">
        <v>441</v>
      </c>
      <c r="G1224" s="195" t="s">
        <v>688</v>
      </c>
    </row>
    <row r="1225" spans="1:7" hidden="1">
      <c r="A1225" s="194" t="s">
        <v>556</v>
      </c>
      <c r="B1225" s="195">
        <v>-7</v>
      </c>
      <c r="C1225" s="195">
        <v>0</v>
      </c>
      <c r="D1225" s="196" t="s">
        <v>283</v>
      </c>
      <c r="E1225" s="196" t="s">
        <v>319</v>
      </c>
      <c r="F1225" s="195" t="s">
        <v>394</v>
      </c>
      <c r="G1225" s="195" t="s">
        <v>688</v>
      </c>
    </row>
    <row r="1226" spans="1:7">
      <c r="A1226" s="194" t="s">
        <v>556</v>
      </c>
      <c r="B1226" s="195">
        <v>7</v>
      </c>
      <c r="C1226" s="195">
        <v>0</v>
      </c>
      <c r="D1226" s="196" t="s">
        <v>282</v>
      </c>
      <c r="E1226" s="196" t="s">
        <v>319</v>
      </c>
      <c r="F1226" s="195" t="s">
        <v>394</v>
      </c>
      <c r="G1226" s="195" t="s">
        <v>688</v>
      </c>
    </row>
    <row r="1227" spans="1:7">
      <c r="A1227" s="194" t="s">
        <v>556</v>
      </c>
      <c r="B1227" s="195">
        <v>-11</v>
      </c>
      <c r="C1227" s="195">
        <v>0</v>
      </c>
      <c r="D1227" s="196" t="s">
        <v>282</v>
      </c>
      <c r="E1227" s="196" t="s">
        <v>319</v>
      </c>
      <c r="F1227" s="195" t="s">
        <v>408</v>
      </c>
      <c r="G1227" s="195" t="s">
        <v>688</v>
      </c>
    </row>
    <row r="1228" spans="1:7" hidden="1">
      <c r="A1228" s="194" t="s">
        <v>557</v>
      </c>
      <c r="B1228" s="195">
        <v>-11</v>
      </c>
      <c r="C1228" s="195">
        <v>0</v>
      </c>
      <c r="D1228" s="196" t="s">
        <v>283</v>
      </c>
      <c r="E1228" s="196" t="s">
        <v>319</v>
      </c>
      <c r="F1228" s="195" t="s">
        <v>394</v>
      </c>
      <c r="G1228" s="195" t="s">
        <v>688</v>
      </c>
    </row>
    <row r="1229" spans="1:7">
      <c r="A1229" s="194" t="s">
        <v>557</v>
      </c>
      <c r="B1229" s="195">
        <v>11</v>
      </c>
      <c r="C1229" s="195">
        <v>0</v>
      </c>
      <c r="D1229" s="196" t="s">
        <v>282</v>
      </c>
      <c r="E1229" s="196" t="s">
        <v>319</v>
      </c>
      <c r="F1229" s="195" t="s">
        <v>394</v>
      </c>
      <c r="G1229" s="195" t="s">
        <v>688</v>
      </c>
    </row>
    <row r="1230" spans="1:7">
      <c r="A1230" s="194" t="s">
        <v>557</v>
      </c>
      <c r="B1230" s="195">
        <v>-21</v>
      </c>
      <c r="C1230" s="195">
        <v>0</v>
      </c>
      <c r="D1230" s="196" t="s">
        <v>282</v>
      </c>
      <c r="E1230" s="196" t="s">
        <v>319</v>
      </c>
      <c r="F1230" s="195" t="s">
        <v>408</v>
      </c>
      <c r="G1230" s="195" t="s">
        <v>688</v>
      </c>
    </row>
    <row r="1231" spans="1:7" hidden="1">
      <c r="A1231" s="194" t="s">
        <v>558</v>
      </c>
      <c r="B1231" s="195">
        <v>10</v>
      </c>
      <c r="C1231" s="195">
        <v>0</v>
      </c>
      <c r="D1231" s="196" t="s">
        <v>283</v>
      </c>
      <c r="E1231" s="196" t="s">
        <v>319</v>
      </c>
      <c r="F1231" s="195" t="s">
        <v>394</v>
      </c>
      <c r="G1231" s="195" t="s">
        <v>688</v>
      </c>
    </row>
    <row r="1232" spans="1:7">
      <c r="A1232" s="194" t="s">
        <v>558</v>
      </c>
      <c r="B1232" s="195">
        <v>-10</v>
      </c>
      <c r="C1232" s="195">
        <v>0</v>
      </c>
      <c r="D1232" s="196" t="s">
        <v>282</v>
      </c>
      <c r="E1232" s="196" t="s">
        <v>319</v>
      </c>
      <c r="F1232" s="195" t="s">
        <v>394</v>
      </c>
      <c r="G1232" s="195" t="s">
        <v>688</v>
      </c>
    </row>
    <row r="1233" spans="1:7">
      <c r="A1233" s="194" t="s">
        <v>558</v>
      </c>
      <c r="B1233" s="195">
        <v>12</v>
      </c>
      <c r="C1233" s="195">
        <v>0</v>
      </c>
      <c r="D1233" s="196" t="s">
        <v>282</v>
      </c>
      <c r="E1233" s="196" t="s">
        <v>319</v>
      </c>
      <c r="F1233" s="195" t="s">
        <v>408</v>
      </c>
      <c r="G1233" s="195" t="s">
        <v>688</v>
      </c>
    </row>
    <row r="1234" spans="1:7" hidden="1">
      <c r="A1234" s="194" t="s">
        <v>559</v>
      </c>
      <c r="B1234" s="195">
        <v>11</v>
      </c>
      <c r="C1234" s="195">
        <v>0</v>
      </c>
      <c r="D1234" s="196" t="s">
        <v>283</v>
      </c>
      <c r="E1234" s="196" t="s">
        <v>319</v>
      </c>
      <c r="F1234" s="195" t="s">
        <v>394</v>
      </c>
      <c r="G1234" s="195" t="s">
        <v>688</v>
      </c>
    </row>
    <row r="1235" spans="1:7">
      <c r="A1235" s="194" t="s">
        <v>559</v>
      </c>
      <c r="B1235" s="195">
        <v>-11</v>
      </c>
      <c r="C1235" s="195">
        <v>0</v>
      </c>
      <c r="D1235" s="196" t="s">
        <v>282</v>
      </c>
      <c r="E1235" s="196" t="s">
        <v>319</v>
      </c>
      <c r="F1235" s="195" t="s">
        <v>394</v>
      </c>
      <c r="G1235" s="195" t="s">
        <v>688</v>
      </c>
    </row>
    <row r="1236" spans="1:7">
      <c r="A1236" s="194" t="s">
        <v>559</v>
      </c>
      <c r="B1236" s="195">
        <v>21</v>
      </c>
      <c r="C1236" s="195">
        <v>0</v>
      </c>
      <c r="D1236" s="196" t="s">
        <v>282</v>
      </c>
      <c r="E1236" s="196" t="s">
        <v>319</v>
      </c>
      <c r="F1236" s="195" t="s">
        <v>408</v>
      </c>
      <c r="G1236" s="195" t="s">
        <v>688</v>
      </c>
    </row>
    <row r="1237" spans="1:7">
      <c r="A1237" s="194" t="s">
        <v>560</v>
      </c>
      <c r="B1237" s="195">
        <v>74</v>
      </c>
      <c r="C1237" s="195">
        <v>0</v>
      </c>
      <c r="D1237" s="196" t="s">
        <v>282</v>
      </c>
      <c r="E1237" s="196" t="s">
        <v>319</v>
      </c>
      <c r="F1237" s="195" t="s">
        <v>394</v>
      </c>
      <c r="G1237" s="195" t="s">
        <v>688</v>
      </c>
    </row>
    <row r="1238" spans="1:7">
      <c r="A1238" s="194" t="s">
        <v>560</v>
      </c>
      <c r="B1238" s="195">
        <v>-37</v>
      </c>
      <c r="C1238" s="195">
        <v>0</v>
      </c>
      <c r="D1238" s="196" t="s">
        <v>282</v>
      </c>
      <c r="E1238" s="196" t="s">
        <v>319</v>
      </c>
      <c r="F1238" s="195" t="s">
        <v>408</v>
      </c>
      <c r="G1238" s="195" t="s">
        <v>688</v>
      </c>
    </row>
    <row r="1239" spans="1:7">
      <c r="A1239" s="194" t="s">
        <v>560</v>
      </c>
      <c r="B1239" s="195">
        <v>-37</v>
      </c>
      <c r="C1239" s="195">
        <v>0</v>
      </c>
      <c r="D1239" s="196" t="s">
        <v>282</v>
      </c>
      <c r="E1239" s="196" t="s">
        <v>319</v>
      </c>
      <c r="F1239" s="195" t="s">
        <v>393</v>
      </c>
      <c r="G1239" s="195" t="s">
        <v>688</v>
      </c>
    </row>
    <row r="1240" spans="1:7" hidden="1">
      <c r="A1240" s="194" t="s">
        <v>561</v>
      </c>
      <c r="B1240" s="195">
        <v>-3</v>
      </c>
      <c r="C1240" s="195">
        <v>0</v>
      </c>
      <c r="D1240" s="196" t="s">
        <v>283</v>
      </c>
      <c r="E1240" s="196" t="s">
        <v>319</v>
      </c>
      <c r="F1240" s="195" t="s">
        <v>394</v>
      </c>
      <c r="G1240" s="195" t="s">
        <v>688</v>
      </c>
    </row>
    <row r="1241" spans="1:7" hidden="1">
      <c r="A1241" s="194" t="s">
        <v>561</v>
      </c>
      <c r="B1241" s="195">
        <v>3</v>
      </c>
      <c r="C1241" s="195">
        <v>0</v>
      </c>
      <c r="D1241" s="196" t="s">
        <v>283</v>
      </c>
      <c r="E1241" s="196" t="s">
        <v>319</v>
      </c>
      <c r="F1241" s="195" t="s">
        <v>408</v>
      </c>
      <c r="G1241" s="195" t="s">
        <v>688</v>
      </c>
    </row>
    <row r="1242" spans="1:7">
      <c r="A1242" s="194" t="s">
        <v>561</v>
      </c>
      <c r="B1242" s="195">
        <v>-37</v>
      </c>
      <c r="C1242" s="195">
        <v>0</v>
      </c>
      <c r="D1242" s="196" t="s">
        <v>282</v>
      </c>
      <c r="E1242" s="196" t="s">
        <v>319</v>
      </c>
      <c r="F1242" s="195" t="s">
        <v>394</v>
      </c>
      <c r="G1242" s="195" t="s">
        <v>688</v>
      </c>
    </row>
    <row r="1243" spans="1:7">
      <c r="A1243" s="194" t="s">
        <v>561</v>
      </c>
      <c r="B1243" s="195">
        <v>37</v>
      </c>
      <c r="C1243" s="195">
        <v>0</v>
      </c>
      <c r="D1243" s="196" t="s">
        <v>282</v>
      </c>
      <c r="E1243" s="196" t="s">
        <v>319</v>
      </c>
      <c r="F1243" s="195" t="s">
        <v>408</v>
      </c>
      <c r="G1243" s="195" t="s">
        <v>688</v>
      </c>
    </row>
    <row r="1244" spans="1:7" hidden="1">
      <c r="A1244" s="194" t="s">
        <v>562</v>
      </c>
      <c r="B1244" s="195">
        <v>-20</v>
      </c>
      <c r="C1244" s="195">
        <v>0</v>
      </c>
      <c r="D1244" s="196" t="s">
        <v>283</v>
      </c>
      <c r="E1244" s="196" t="s">
        <v>319</v>
      </c>
      <c r="F1244" s="195" t="s">
        <v>394</v>
      </c>
      <c r="G1244" s="195" t="s">
        <v>688</v>
      </c>
    </row>
    <row r="1245" spans="1:7" hidden="1">
      <c r="A1245" s="194" t="s">
        <v>562</v>
      </c>
      <c r="B1245" s="195">
        <v>20</v>
      </c>
      <c r="C1245" s="195">
        <v>0</v>
      </c>
      <c r="D1245" s="196" t="s">
        <v>283</v>
      </c>
      <c r="E1245" s="196" t="s">
        <v>319</v>
      </c>
      <c r="F1245" s="195" t="s">
        <v>408</v>
      </c>
      <c r="G1245" s="195" t="s">
        <v>688</v>
      </c>
    </row>
    <row r="1246" spans="1:7">
      <c r="A1246" s="194" t="s">
        <v>562</v>
      </c>
      <c r="B1246" s="195">
        <v>-32</v>
      </c>
      <c r="C1246" s="195">
        <v>0</v>
      </c>
      <c r="D1246" s="196" t="s">
        <v>282</v>
      </c>
      <c r="E1246" s="196" t="s">
        <v>319</v>
      </c>
      <c r="F1246" s="195" t="s">
        <v>394</v>
      </c>
      <c r="G1246" s="195" t="s">
        <v>688</v>
      </c>
    </row>
    <row r="1247" spans="1:7">
      <c r="A1247" s="194" t="s">
        <v>562</v>
      </c>
      <c r="B1247" s="195">
        <v>24</v>
      </c>
      <c r="C1247" s="195">
        <v>0</v>
      </c>
      <c r="D1247" s="196" t="s">
        <v>282</v>
      </c>
      <c r="E1247" s="196" t="s">
        <v>319</v>
      </c>
      <c r="F1247" s="195" t="s">
        <v>408</v>
      </c>
      <c r="G1247" s="195" t="s">
        <v>688</v>
      </c>
    </row>
    <row r="1248" spans="1:7">
      <c r="A1248" s="194" t="s">
        <v>562</v>
      </c>
      <c r="B1248" s="195">
        <v>8</v>
      </c>
      <c r="C1248" s="195">
        <v>0</v>
      </c>
      <c r="D1248" s="196" t="s">
        <v>282</v>
      </c>
      <c r="E1248" s="196" t="s">
        <v>319</v>
      </c>
      <c r="F1248" s="195" t="s">
        <v>393</v>
      </c>
      <c r="G1248" s="195" t="s">
        <v>688</v>
      </c>
    </row>
    <row r="1249" spans="1:7">
      <c r="A1249" s="194" t="s">
        <v>563</v>
      </c>
      <c r="B1249" s="195">
        <v>24</v>
      </c>
      <c r="C1249" s="195">
        <v>0</v>
      </c>
      <c r="D1249" s="196" t="s">
        <v>282</v>
      </c>
      <c r="E1249" s="196" t="s">
        <v>319</v>
      </c>
      <c r="F1249" s="195" t="s">
        <v>394</v>
      </c>
      <c r="G1249" s="195" t="s">
        <v>688</v>
      </c>
    </row>
    <row r="1250" spans="1:7">
      <c r="A1250" s="194" t="s">
        <v>563</v>
      </c>
      <c r="B1250" s="195">
        <v>-24</v>
      </c>
      <c r="C1250" s="195">
        <v>0</v>
      </c>
      <c r="D1250" s="196" t="s">
        <v>282</v>
      </c>
      <c r="E1250" s="196" t="s">
        <v>319</v>
      </c>
      <c r="F1250" s="195" t="s">
        <v>408</v>
      </c>
      <c r="G1250" s="195" t="s">
        <v>688</v>
      </c>
    </row>
    <row r="1251" spans="1:7">
      <c r="A1251" s="194" t="s">
        <v>564</v>
      </c>
      <c r="B1251" s="195">
        <v>-24</v>
      </c>
      <c r="C1251" s="195">
        <v>0</v>
      </c>
      <c r="D1251" s="196" t="s">
        <v>282</v>
      </c>
      <c r="E1251" s="196" t="s">
        <v>319</v>
      </c>
      <c r="F1251" s="195" t="s">
        <v>394</v>
      </c>
      <c r="G1251" s="195" t="s">
        <v>688</v>
      </c>
    </row>
    <row r="1252" spans="1:7">
      <c r="A1252" s="194" t="s">
        <v>564</v>
      </c>
      <c r="B1252" s="195">
        <v>24</v>
      </c>
      <c r="C1252" s="195">
        <v>0</v>
      </c>
      <c r="D1252" s="196" t="s">
        <v>282</v>
      </c>
      <c r="E1252" s="196" t="s">
        <v>319</v>
      </c>
      <c r="F1252" s="195" t="s">
        <v>408</v>
      </c>
      <c r="G1252" s="195" t="s">
        <v>688</v>
      </c>
    </row>
    <row r="1253" spans="1:7">
      <c r="A1253" s="194" t="s">
        <v>90</v>
      </c>
      <c r="B1253" s="195">
        <v>1035</v>
      </c>
      <c r="C1253" s="195">
        <v>0</v>
      </c>
      <c r="D1253" s="196" t="s">
        <v>282</v>
      </c>
      <c r="E1253" s="196" t="s">
        <v>317</v>
      </c>
      <c r="F1253" s="195" t="s">
        <v>394</v>
      </c>
      <c r="G1253" s="195" t="s">
        <v>688</v>
      </c>
    </row>
    <row r="1254" spans="1:7">
      <c r="A1254" s="194" t="s">
        <v>90</v>
      </c>
      <c r="B1254" s="195">
        <v>-415</v>
      </c>
      <c r="C1254" s="195">
        <v>0</v>
      </c>
      <c r="D1254" s="196" t="s">
        <v>282</v>
      </c>
      <c r="E1254" s="196" t="s">
        <v>317</v>
      </c>
      <c r="F1254" s="195" t="s">
        <v>445</v>
      </c>
      <c r="G1254" s="195" t="s">
        <v>688</v>
      </c>
    </row>
    <row r="1255" spans="1:7">
      <c r="A1255" s="194" t="s">
        <v>90</v>
      </c>
      <c r="B1255" s="195">
        <v>45</v>
      </c>
      <c r="C1255" s="195">
        <v>0</v>
      </c>
      <c r="D1255" s="196" t="s">
        <v>282</v>
      </c>
      <c r="E1255" s="196" t="s">
        <v>317</v>
      </c>
      <c r="F1255" s="195" t="s">
        <v>393</v>
      </c>
      <c r="G1255" s="195" t="s">
        <v>688</v>
      </c>
    </row>
    <row r="1256" spans="1:7">
      <c r="A1256" s="194" t="s">
        <v>90</v>
      </c>
      <c r="B1256" s="195">
        <v>234</v>
      </c>
      <c r="C1256" s="195">
        <v>0</v>
      </c>
      <c r="D1256" s="196" t="s">
        <v>282</v>
      </c>
      <c r="E1256" s="196" t="s">
        <v>317</v>
      </c>
      <c r="F1256" s="195" t="s">
        <v>413</v>
      </c>
      <c r="G1256" s="195" t="s">
        <v>688</v>
      </c>
    </row>
    <row r="1257" spans="1:7">
      <c r="A1257" s="194" t="s">
        <v>90</v>
      </c>
      <c r="B1257" s="195">
        <v>-452</v>
      </c>
      <c r="C1257" s="195">
        <v>0</v>
      </c>
      <c r="D1257" s="196" t="s">
        <v>282</v>
      </c>
      <c r="E1257" s="196" t="s">
        <v>317</v>
      </c>
      <c r="F1257" s="195" t="s">
        <v>403</v>
      </c>
      <c r="G1257" s="195" t="s">
        <v>688</v>
      </c>
    </row>
    <row r="1258" spans="1:7">
      <c r="A1258" s="194" t="s">
        <v>90</v>
      </c>
      <c r="B1258" s="195">
        <v>-447</v>
      </c>
      <c r="C1258" s="195">
        <v>0</v>
      </c>
      <c r="D1258" s="196" t="s">
        <v>282</v>
      </c>
      <c r="E1258" s="196" t="s">
        <v>317</v>
      </c>
      <c r="F1258" s="195" t="s">
        <v>449</v>
      </c>
      <c r="G1258" s="195" t="s">
        <v>688</v>
      </c>
    </row>
    <row r="1259" spans="1:7" hidden="1">
      <c r="A1259" s="194" t="s">
        <v>90</v>
      </c>
      <c r="B1259" s="195">
        <v>115</v>
      </c>
      <c r="C1259" s="195">
        <v>0</v>
      </c>
      <c r="D1259" s="196" t="s">
        <v>442</v>
      </c>
      <c r="E1259" s="196" t="s">
        <v>317</v>
      </c>
      <c r="F1259" s="195" t="s">
        <v>394</v>
      </c>
      <c r="G1259" s="195" t="s">
        <v>688</v>
      </c>
    </row>
    <row r="1260" spans="1:7">
      <c r="A1260" s="194" t="s">
        <v>565</v>
      </c>
      <c r="B1260" s="195">
        <v>7</v>
      </c>
      <c r="C1260" s="195">
        <v>0</v>
      </c>
      <c r="D1260" s="196" t="s">
        <v>282</v>
      </c>
      <c r="E1260" s="196" t="s">
        <v>319</v>
      </c>
      <c r="F1260" s="195" t="s">
        <v>394</v>
      </c>
      <c r="G1260" s="195" t="s">
        <v>688</v>
      </c>
    </row>
    <row r="1261" spans="1:7">
      <c r="A1261" s="194" t="s">
        <v>565</v>
      </c>
      <c r="B1261" s="195">
        <v>-7</v>
      </c>
      <c r="C1261" s="195">
        <v>0</v>
      </c>
      <c r="D1261" s="196" t="s">
        <v>282</v>
      </c>
      <c r="E1261" s="196" t="s">
        <v>319</v>
      </c>
      <c r="F1261" s="195" t="s">
        <v>393</v>
      </c>
      <c r="G1261" s="195" t="s">
        <v>688</v>
      </c>
    </row>
    <row r="1262" spans="1:7">
      <c r="A1262" s="194" t="s">
        <v>566</v>
      </c>
      <c r="B1262" s="195">
        <v>-12</v>
      </c>
      <c r="C1262" s="195">
        <v>0</v>
      </c>
      <c r="D1262" s="196" t="s">
        <v>282</v>
      </c>
      <c r="E1262" s="196" t="s">
        <v>319</v>
      </c>
      <c r="F1262" s="195" t="s">
        <v>394</v>
      </c>
      <c r="G1262" s="195" t="s">
        <v>688</v>
      </c>
    </row>
    <row r="1263" spans="1:7">
      <c r="A1263" s="194" t="s">
        <v>566</v>
      </c>
      <c r="B1263" s="195">
        <v>5</v>
      </c>
      <c r="C1263" s="195">
        <v>0</v>
      </c>
      <c r="D1263" s="196" t="s">
        <v>282</v>
      </c>
      <c r="E1263" s="196" t="s">
        <v>319</v>
      </c>
      <c r="F1263" s="195" t="s">
        <v>408</v>
      </c>
      <c r="G1263" s="195" t="s">
        <v>688</v>
      </c>
    </row>
    <row r="1264" spans="1:7">
      <c r="A1264" s="194" t="s">
        <v>566</v>
      </c>
      <c r="B1264" s="195">
        <v>7</v>
      </c>
      <c r="C1264" s="195">
        <v>0</v>
      </c>
      <c r="D1264" s="196" t="s">
        <v>282</v>
      </c>
      <c r="E1264" s="196" t="s">
        <v>319</v>
      </c>
      <c r="F1264" s="195" t="s">
        <v>393</v>
      </c>
      <c r="G1264" s="195" t="s">
        <v>688</v>
      </c>
    </row>
    <row r="1265" spans="1:7">
      <c r="A1265" s="194" t="s">
        <v>713</v>
      </c>
      <c r="B1265" s="195">
        <v>5</v>
      </c>
      <c r="C1265" s="195">
        <v>0</v>
      </c>
      <c r="D1265" s="196" t="s">
        <v>282</v>
      </c>
      <c r="E1265" s="196" t="s">
        <v>319</v>
      </c>
      <c r="F1265" s="195" t="s">
        <v>394</v>
      </c>
      <c r="G1265" s="195" t="s">
        <v>688</v>
      </c>
    </row>
    <row r="1266" spans="1:7">
      <c r="A1266" s="194" t="s">
        <v>713</v>
      </c>
      <c r="B1266" s="195">
        <v>-5</v>
      </c>
      <c r="C1266" s="195">
        <v>0</v>
      </c>
      <c r="D1266" s="196" t="s">
        <v>282</v>
      </c>
      <c r="E1266" s="196" t="s">
        <v>319</v>
      </c>
      <c r="F1266" s="195" t="s">
        <v>408</v>
      </c>
      <c r="G1266" s="195" t="s">
        <v>688</v>
      </c>
    </row>
    <row r="1267" spans="1:7" hidden="1">
      <c r="A1267" s="194" t="s">
        <v>567</v>
      </c>
      <c r="B1267" s="195">
        <v>-1</v>
      </c>
      <c r="C1267" s="195">
        <v>0</v>
      </c>
      <c r="D1267" s="196" t="s">
        <v>283</v>
      </c>
      <c r="E1267" s="196" t="s">
        <v>319</v>
      </c>
      <c r="F1267" s="195" t="s">
        <v>394</v>
      </c>
      <c r="G1267" s="195" t="s">
        <v>688</v>
      </c>
    </row>
    <row r="1268" spans="1:7">
      <c r="A1268" s="194" t="s">
        <v>567</v>
      </c>
      <c r="B1268" s="195">
        <v>27</v>
      </c>
      <c r="C1268" s="195">
        <v>0</v>
      </c>
      <c r="D1268" s="196" t="s">
        <v>282</v>
      </c>
      <c r="E1268" s="196" t="s">
        <v>319</v>
      </c>
      <c r="F1268" s="195" t="s">
        <v>394</v>
      </c>
      <c r="G1268" s="195" t="s">
        <v>688</v>
      </c>
    </row>
    <row r="1269" spans="1:7">
      <c r="A1269" s="194" t="s">
        <v>567</v>
      </c>
      <c r="B1269" s="195">
        <v>-26</v>
      </c>
      <c r="C1269" s="195">
        <v>0</v>
      </c>
      <c r="D1269" s="196" t="s">
        <v>282</v>
      </c>
      <c r="E1269" s="196" t="s">
        <v>319</v>
      </c>
      <c r="F1269" s="195" t="s">
        <v>393</v>
      </c>
      <c r="G1269" s="195" t="s">
        <v>688</v>
      </c>
    </row>
    <row r="1270" spans="1:7" hidden="1">
      <c r="A1270" s="194" t="s">
        <v>568</v>
      </c>
      <c r="B1270" s="195">
        <v>1</v>
      </c>
      <c r="C1270" s="195">
        <v>0</v>
      </c>
      <c r="D1270" s="196" t="s">
        <v>283</v>
      </c>
      <c r="E1270" s="196" t="s">
        <v>319</v>
      </c>
      <c r="F1270" s="195" t="s">
        <v>394</v>
      </c>
      <c r="G1270" s="195" t="s">
        <v>688</v>
      </c>
    </row>
    <row r="1271" spans="1:7">
      <c r="A1271" s="194" t="s">
        <v>568</v>
      </c>
      <c r="B1271" s="195">
        <v>-27</v>
      </c>
      <c r="C1271" s="195">
        <v>0</v>
      </c>
      <c r="D1271" s="196" t="s">
        <v>282</v>
      </c>
      <c r="E1271" s="196" t="s">
        <v>319</v>
      </c>
      <c r="F1271" s="195" t="s">
        <v>394</v>
      </c>
      <c r="G1271" s="195" t="s">
        <v>688</v>
      </c>
    </row>
    <row r="1272" spans="1:7">
      <c r="A1272" s="194" t="s">
        <v>568</v>
      </c>
      <c r="B1272" s="195">
        <v>26</v>
      </c>
      <c r="C1272" s="195">
        <v>0</v>
      </c>
      <c r="D1272" s="196" t="s">
        <v>282</v>
      </c>
      <c r="E1272" s="196" t="s">
        <v>319</v>
      </c>
      <c r="F1272" s="195" t="s">
        <v>393</v>
      </c>
      <c r="G1272" s="195" t="s">
        <v>688</v>
      </c>
    </row>
    <row r="1273" spans="1:7">
      <c r="A1273" s="194" t="s">
        <v>569</v>
      </c>
      <c r="B1273" s="195">
        <v>1011</v>
      </c>
      <c r="C1273" s="195">
        <v>0</v>
      </c>
      <c r="D1273" s="196" t="s">
        <v>282</v>
      </c>
      <c r="E1273" s="196" t="s">
        <v>317</v>
      </c>
      <c r="F1273" s="195" t="s">
        <v>445</v>
      </c>
      <c r="G1273" s="195" t="s">
        <v>688</v>
      </c>
    </row>
    <row r="1274" spans="1:7">
      <c r="A1274" s="194" t="s">
        <v>569</v>
      </c>
      <c r="B1274" s="195">
        <v>-1011</v>
      </c>
      <c r="C1274" s="195">
        <v>0</v>
      </c>
      <c r="D1274" s="196" t="s">
        <v>282</v>
      </c>
      <c r="E1274" s="196" t="s">
        <v>317</v>
      </c>
      <c r="F1274" s="195" t="s">
        <v>393</v>
      </c>
      <c r="G1274" s="195" t="s">
        <v>688</v>
      </c>
    </row>
    <row r="1275" spans="1:7">
      <c r="A1275" s="194" t="s">
        <v>714</v>
      </c>
      <c r="B1275" s="195">
        <v>293</v>
      </c>
      <c r="C1275" s="195">
        <v>0</v>
      </c>
      <c r="D1275" s="196" t="s">
        <v>282</v>
      </c>
      <c r="E1275" s="196" t="s">
        <v>317</v>
      </c>
      <c r="F1275" s="195" t="s">
        <v>394</v>
      </c>
      <c r="G1275" s="195" t="s">
        <v>688</v>
      </c>
    </row>
    <row r="1276" spans="1:7">
      <c r="A1276" s="194" t="s">
        <v>714</v>
      </c>
      <c r="B1276" s="195">
        <v>-293</v>
      </c>
      <c r="C1276" s="195">
        <v>0</v>
      </c>
      <c r="D1276" s="196" t="s">
        <v>282</v>
      </c>
      <c r="E1276" s="196" t="s">
        <v>317</v>
      </c>
      <c r="F1276" s="195" t="s">
        <v>449</v>
      </c>
      <c r="G1276" s="195" t="s">
        <v>688</v>
      </c>
    </row>
    <row r="1277" spans="1:7" hidden="1">
      <c r="A1277" s="194" t="s">
        <v>347</v>
      </c>
      <c r="B1277" s="195">
        <v>19</v>
      </c>
      <c r="C1277" s="195">
        <v>0</v>
      </c>
      <c r="D1277" s="196" t="s">
        <v>283</v>
      </c>
      <c r="E1277" s="196" t="s">
        <v>317</v>
      </c>
      <c r="F1277" s="195" t="s">
        <v>394</v>
      </c>
      <c r="G1277" s="195" t="s">
        <v>688</v>
      </c>
    </row>
    <row r="1278" spans="1:7" hidden="1">
      <c r="A1278" s="194" t="s">
        <v>347</v>
      </c>
      <c r="B1278" s="195">
        <v>-19</v>
      </c>
      <c r="C1278" s="195">
        <v>0</v>
      </c>
      <c r="D1278" s="196" t="s">
        <v>283</v>
      </c>
      <c r="E1278" s="196" t="s">
        <v>317</v>
      </c>
      <c r="F1278" s="195" t="s">
        <v>441</v>
      </c>
      <c r="G1278" s="195" t="s">
        <v>688</v>
      </c>
    </row>
    <row r="1279" spans="1:7">
      <c r="A1279" s="194" t="s">
        <v>347</v>
      </c>
      <c r="B1279" s="195">
        <v>47</v>
      </c>
      <c r="C1279" s="195">
        <v>0</v>
      </c>
      <c r="D1279" s="196" t="s">
        <v>282</v>
      </c>
      <c r="E1279" s="196" t="s">
        <v>317</v>
      </c>
      <c r="F1279" s="195" t="s">
        <v>394</v>
      </c>
      <c r="G1279" s="195" t="s">
        <v>688</v>
      </c>
    </row>
    <row r="1280" spans="1:7">
      <c r="A1280" s="194" t="s">
        <v>347</v>
      </c>
      <c r="B1280" s="195">
        <v>-66</v>
      </c>
      <c r="C1280" s="195">
        <v>0</v>
      </c>
      <c r="D1280" s="196" t="s">
        <v>282</v>
      </c>
      <c r="E1280" s="196" t="s">
        <v>317</v>
      </c>
      <c r="F1280" s="195" t="s">
        <v>393</v>
      </c>
      <c r="G1280" s="195" t="s">
        <v>688</v>
      </c>
    </row>
    <row r="1281" spans="1:7">
      <c r="A1281" s="194" t="s">
        <v>347</v>
      </c>
      <c r="B1281" s="195">
        <v>19</v>
      </c>
      <c r="C1281" s="195">
        <v>0</v>
      </c>
      <c r="D1281" s="196" t="s">
        <v>282</v>
      </c>
      <c r="E1281" s="196" t="s">
        <v>317</v>
      </c>
      <c r="F1281" s="195" t="s">
        <v>441</v>
      </c>
      <c r="G1281" s="195" t="s">
        <v>688</v>
      </c>
    </row>
    <row r="1282" spans="1:7">
      <c r="A1282" s="194" t="s">
        <v>572</v>
      </c>
      <c r="B1282" s="195">
        <v>4</v>
      </c>
      <c r="C1282" s="195">
        <v>0</v>
      </c>
      <c r="D1282" s="196" t="s">
        <v>282</v>
      </c>
      <c r="E1282" s="196" t="s">
        <v>319</v>
      </c>
      <c r="F1282" s="195" t="s">
        <v>394</v>
      </c>
      <c r="G1282" s="195" t="s">
        <v>688</v>
      </c>
    </row>
    <row r="1283" spans="1:7">
      <c r="A1283" s="194" t="s">
        <v>572</v>
      </c>
      <c r="B1283" s="195">
        <v>-4</v>
      </c>
      <c r="C1283" s="195">
        <v>0</v>
      </c>
      <c r="D1283" s="196" t="s">
        <v>282</v>
      </c>
      <c r="E1283" s="196" t="s">
        <v>319</v>
      </c>
      <c r="F1283" s="195" t="s">
        <v>408</v>
      </c>
      <c r="G1283" s="195" t="s">
        <v>688</v>
      </c>
    </row>
    <row r="1284" spans="1:7">
      <c r="A1284" s="194" t="s">
        <v>573</v>
      </c>
      <c r="B1284" s="195">
        <v>-4</v>
      </c>
      <c r="C1284" s="195">
        <v>0</v>
      </c>
      <c r="D1284" s="196" t="s">
        <v>282</v>
      </c>
      <c r="E1284" s="196" t="s">
        <v>319</v>
      </c>
      <c r="F1284" s="195" t="s">
        <v>394</v>
      </c>
      <c r="G1284" s="195" t="s">
        <v>688</v>
      </c>
    </row>
    <row r="1285" spans="1:7">
      <c r="A1285" s="194" t="s">
        <v>573</v>
      </c>
      <c r="B1285" s="195">
        <v>4</v>
      </c>
      <c r="C1285" s="195">
        <v>0</v>
      </c>
      <c r="D1285" s="196" t="s">
        <v>282</v>
      </c>
      <c r="E1285" s="196" t="s">
        <v>319</v>
      </c>
      <c r="F1285" s="195" t="s">
        <v>408</v>
      </c>
      <c r="G1285" s="195" t="s">
        <v>688</v>
      </c>
    </row>
    <row r="1286" spans="1:7">
      <c r="A1286" s="194" t="s">
        <v>715</v>
      </c>
      <c r="B1286" s="195">
        <v>44</v>
      </c>
      <c r="C1286" s="195">
        <v>0</v>
      </c>
      <c r="D1286" s="196" t="s">
        <v>282</v>
      </c>
      <c r="E1286" s="196" t="s">
        <v>317</v>
      </c>
      <c r="F1286" s="195" t="s">
        <v>394</v>
      </c>
      <c r="G1286" s="195" t="s">
        <v>688</v>
      </c>
    </row>
    <row r="1287" spans="1:7">
      <c r="A1287" s="194" t="s">
        <v>715</v>
      </c>
      <c r="B1287" s="195">
        <v>-44</v>
      </c>
      <c r="C1287" s="195">
        <v>0</v>
      </c>
      <c r="D1287" s="196" t="s">
        <v>282</v>
      </c>
      <c r="E1287" s="196" t="s">
        <v>317</v>
      </c>
      <c r="F1287" s="195" t="s">
        <v>449</v>
      </c>
      <c r="G1287" s="195" t="s">
        <v>688</v>
      </c>
    </row>
    <row r="1288" spans="1:7" hidden="1">
      <c r="A1288" s="194" t="s">
        <v>575</v>
      </c>
      <c r="B1288" s="195">
        <v>11270</v>
      </c>
      <c r="C1288" s="195">
        <v>0</v>
      </c>
      <c r="D1288" s="196" t="s">
        <v>440</v>
      </c>
      <c r="E1288" s="196" t="s">
        <v>317</v>
      </c>
      <c r="F1288" s="195" t="s">
        <v>394</v>
      </c>
      <c r="G1288" s="195" t="s">
        <v>688</v>
      </c>
    </row>
    <row r="1289" spans="1:7" hidden="1">
      <c r="A1289" s="194" t="s">
        <v>575</v>
      </c>
      <c r="B1289" s="195">
        <v>-5670</v>
      </c>
      <c r="C1289" s="195">
        <v>0</v>
      </c>
      <c r="D1289" s="196" t="s">
        <v>440</v>
      </c>
      <c r="E1289" s="196" t="s">
        <v>317</v>
      </c>
      <c r="F1289" s="195" t="s">
        <v>405</v>
      </c>
      <c r="G1289" s="195" t="s">
        <v>688</v>
      </c>
    </row>
    <row r="1290" spans="1:7" hidden="1">
      <c r="A1290" s="194" t="s">
        <v>575</v>
      </c>
      <c r="B1290" s="195">
        <v>-5600</v>
      </c>
      <c r="C1290" s="195">
        <v>0</v>
      </c>
      <c r="D1290" s="196" t="s">
        <v>440</v>
      </c>
      <c r="E1290" s="196" t="s">
        <v>317</v>
      </c>
      <c r="F1290" s="195" t="s">
        <v>410</v>
      </c>
      <c r="G1290" s="195" t="s">
        <v>688</v>
      </c>
    </row>
    <row r="1291" spans="1:7" hidden="1">
      <c r="A1291" s="194" t="s">
        <v>94</v>
      </c>
      <c r="B1291" s="195">
        <v>884</v>
      </c>
      <c r="C1291" s="195">
        <v>0</v>
      </c>
      <c r="D1291" s="196" t="s">
        <v>283</v>
      </c>
      <c r="E1291" s="196" t="s">
        <v>317</v>
      </c>
      <c r="F1291" s="195" t="s">
        <v>394</v>
      </c>
      <c r="G1291" s="195" t="s">
        <v>688</v>
      </c>
    </row>
    <row r="1292" spans="1:7" hidden="1">
      <c r="A1292" s="194" t="s">
        <v>94</v>
      </c>
      <c r="B1292" s="195">
        <v>-620</v>
      </c>
      <c r="C1292" s="195">
        <v>0</v>
      </c>
      <c r="D1292" s="196" t="s">
        <v>283</v>
      </c>
      <c r="E1292" s="196" t="s">
        <v>317</v>
      </c>
      <c r="F1292" s="195" t="s">
        <v>397</v>
      </c>
      <c r="G1292" s="195" t="s">
        <v>688</v>
      </c>
    </row>
    <row r="1293" spans="1:7" hidden="1">
      <c r="A1293" s="194" t="s">
        <v>94</v>
      </c>
      <c r="B1293" s="195">
        <v>66</v>
      </c>
      <c r="C1293" s="195">
        <v>0</v>
      </c>
      <c r="D1293" s="196" t="s">
        <v>283</v>
      </c>
      <c r="E1293" s="196" t="s">
        <v>317</v>
      </c>
      <c r="F1293" s="195" t="s">
        <v>393</v>
      </c>
      <c r="G1293" s="195" t="s">
        <v>688</v>
      </c>
    </row>
    <row r="1294" spans="1:7" hidden="1">
      <c r="A1294" s="194" t="s">
        <v>94</v>
      </c>
      <c r="B1294" s="195">
        <v>-928</v>
      </c>
      <c r="C1294" s="195">
        <v>0</v>
      </c>
      <c r="D1294" s="196" t="s">
        <v>283</v>
      </c>
      <c r="E1294" s="196" t="s">
        <v>317</v>
      </c>
      <c r="F1294" s="195" t="s">
        <v>441</v>
      </c>
      <c r="G1294" s="195" t="s">
        <v>688</v>
      </c>
    </row>
    <row r="1295" spans="1:7" hidden="1">
      <c r="A1295" s="194" t="s">
        <v>94</v>
      </c>
      <c r="B1295" s="195">
        <v>613</v>
      </c>
      <c r="C1295" s="195">
        <v>0</v>
      </c>
      <c r="D1295" s="196" t="s">
        <v>283</v>
      </c>
      <c r="E1295" s="196" t="s">
        <v>317</v>
      </c>
      <c r="F1295" s="195" t="s">
        <v>411</v>
      </c>
      <c r="G1295" s="195" t="s">
        <v>688</v>
      </c>
    </row>
    <row r="1296" spans="1:7">
      <c r="A1296" s="194" t="s">
        <v>94</v>
      </c>
      <c r="B1296" s="195">
        <v>-6804</v>
      </c>
      <c r="C1296" s="195">
        <v>0</v>
      </c>
      <c r="D1296" s="196" t="s">
        <v>282</v>
      </c>
      <c r="E1296" s="196" t="s">
        <v>317</v>
      </c>
      <c r="F1296" s="195" t="s">
        <v>394</v>
      </c>
      <c r="G1296" s="195" t="s">
        <v>688</v>
      </c>
    </row>
    <row r="1297" spans="1:7">
      <c r="A1297" s="194" t="s">
        <v>94</v>
      </c>
      <c r="B1297" s="195">
        <v>-499</v>
      </c>
      <c r="C1297" s="195">
        <v>0</v>
      </c>
      <c r="D1297" s="196" t="s">
        <v>282</v>
      </c>
      <c r="E1297" s="196" t="s">
        <v>317</v>
      </c>
      <c r="F1297" s="195" t="s">
        <v>445</v>
      </c>
      <c r="G1297" s="195" t="s">
        <v>688</v>
      </c>
    </row>
    <row r="1298" spans="1:7">
      <c r="A1298" s="194" t="s">
        <v>94</v>
      </c>
      <c r="B1298" s="195">
        <v>-620</v>
      </c>
      <c r="C1298" s="195">
        <v>0</v>
      </c>
      <c r="D1298" s="196" t="s">
        <v>282</v>
      </c>
      <c r="E1298" s="196" t="s">
        <v>317</v>
      </c>
      <c r="F1298" s="195" t="s">
        <v>397</v>
      </c>
      <c r="G1298" s="195" t="s">
        <v>688</v>
      </c>
    </row>
    <row r="1299" spans="1:7">
      <c r="A1299" s="194" t="s">
        <v>94</v>
      </c>
      <c r="B1299" s="195">
        <v>2604</v>
      </c>
      <c r="C1299" s="195">
        <v>0</v>
      </c>
      <c r="D1299" s="196" t="s">
        <v>282</v>
      </c>
      <c r="E1299" s="196" t="s">
        <v>317</v>
      </c>
      <c r="F1299" s="195" t="s">
        <v>408</v>
      </c>
      <c r="G1299" s="195" t="s">
        <v>688</v>
      </c>
    </row>
    <row r="1300" spans="1:7">
      <c r="A1300" s="194" t="s">
        <v>94</v>
      </c>
      <c r="B1300" s="195">
        <v>2189</v>
      </c>
      <c r="C1300" s="195">
        <v>0</v>
      </c>
      <c r="D1300" s="196" t="s">
        <v>282</v>
      </c>
      <c r="E1300" s="196" t="s">
        <v>317</v>
      </c>
      <c r="F1300" s="195" t="s">
        <v>393</v>
      </c>
      <c r="G1300" s="195" t="s">
        <v>688</v>
      </c>
    </row>
    <row r="1301" spans="1:7">
      <c r="A1301" s="194" t="s">
        <v>94</v>
      </c>
      <c r="B1301" s="195">
        <v>1500</v>
      </c>
      <c r="C1301" s="195">
        <v>0</v>
      </c>
      <c r="D1301" s="196" t="s">
        <v>282</v>
      </c>
      <c r="E1301" s="196" t="s">
        <v>317</v>
      </c>
      <c r="F1301" s="195" t="s">
        <v>407</v>
      </c>
      <c r="G1301" s="195" t="s">
        <v>688</v>
      </c>
    </row>
    <row r="1302" spans="1:7">
      <c r="A1302" s="194" t="s">
        <v>94</v>
      </c>
      <c r="B1302" s="195">
        <v>323</v>
      </c>
      <c r="C1302" s="195">
        <v>0</v>
      </c>
      <c r="D1302" s="196" t="s">
        <v>282</v>
      </c>
      <c r="E1302" s="196" t="s">
        <v>317</v>
      </c>
      <c r="F1302" s="195" t="s">
        <v>413</v>
      </c>
      <c r="G1302" s="195" t="s">
        <v>688</v>
      </c>
    </row>
    <row r="1303" spans="1:7">
      <c r="A1303" s="194" t="s">
        <v>94</v>
      </c>
      <c r="B1303" s="195">
        <v>-444</v>
      </c>
      <c r="C1303" s="195">
        <v>0</v>
      </c>
      <c r="D1303" s="196" t="s">
        <v>282</v>
      </c>
      <c r="E1303" s="196" t="s">
        <v>317</v>
      </c>
      <c r="F1303" s="195" t="s">
        <v>403</v>
      </c>
      <c r="G1303" s="195" t="s">
        <v>688</v>
      </c>
    </row>
    <row r="1304" spans="1:7">
      <c r="A1304" s="194" t="s">
        <v>94</v>
      </c>
      <c r="B1304" s="195">
        <v>928</v>
      </c>
      <c r="C1304" s="195">
        <v>0</v>
      </c>
      <c r="D1304" s="196" t="s">
        <v>282</v>
      </c>
      <c r="E1304" s="196" t="s">
        <v>317</v>
      </c>
      <c r="F1304" s="195" t="s">
        <v>441</v>
      </c>
      <c r="G1304" s="195" t="s">
        <v>688</v>
      </c>
    </row>
    <row r="1305" spans="1:7">
      <c r="A1305" s="194" t="s">
        <v>94</v>
      </c>
      <c r="B1305" s="195">
        <v>195</v>
      </c>
      <c r="C1305" s="195">
        <v>0</v>
      </c>
      <c r="D1305" s="196" t="s">
        <v>282</v>
      </c>
      <c r="E1305" s="196" t="s">
        <v>317</v>
      </c>
      <c r="F1305" s="195" t="s">
        <v>449</v>
      </c>
      <c r="G1305" s="195" t="s">
        <v>688</v>
      </c>
    </row>
    <row r="1306" spans="1:7">
      <c r="A1306" s="194" t="s">
        <v>94</v>
      </c>
      <c r="B1306" s="195">
        <v>613</v>
      </c>
      <c r="C1306" s="195">
        <v>0</v>
      </c>
      <c r="D1306" s="196" t="s">
        <v>282</v>
      </c>
      <c r="E1306" s="196" t="s">
        <v>317</v>
      </c>
      <c r="F1306" s="195" t="s">
        <v>411</v>
      </c>
      <c r="G1306" s="195" t="s">
        <v>688</v>
      </c>
    </row>
    <row r="1307" spans="1:7" hidden="1">
      <c r="A1307" s="194" t="s">
        <v>576</v>
      </c>
      <c r="B1307" s="195">
        <v>4</v>
      </c>
      <c r="C1307" s="195">
        <v>0</v>
      </c>
      <c r="D1307" s="196" t="s">
        <v>283</v>
      </c>
      <c r="E1307" s="196" t="s">
        <v>319</v>
      </c>
      <c r="F1307" s="195" t="s">
        <v>394</v>
      </c>
      <c r="G1307" s="195" t="s">
        <v>688</v>
      </c>
    </row>
    <row r="1308" spans="1:7" hidden="1">
      <c r="A1308" s="194" t="s">
        <v>576</v>
      </c>
      <c r="B1308" s="195">
        <v>-4</v>
      </c>
      <c r="C1308" s="195">
        <v>0</v>
      </c>
      <c r="D1308" s="196" t="s">
        <v>283</v>
      </c>
      <c r="E1308" s="196" t="s">
        <v>319</v>
      </c>
      <c r="F1308" s="195" t="s">
        <v>441</v>
      </c>
      <c r="G1308" s="195" t="s">
        <v>688</v>
      </c>
    </row>
    <row r="1309" spans="1:7">
      <c r="A1309" s="194" t="s">
        <v>576</v>
      </c>
      <c r="B1309" s="195">
        <v>27</v>
      </c>
      <c r="C1309" s="195">
        <v>0</v>
      </c>
      <c r="D1309" s="196" t="s">
        <v>282</v>
      </c>
      <c r="E1309" s="196" t="s">
        <v>319</v>
      </c>
      <c r="F1309" s="195" t="s">
        <v>394</v>
      </c>
      <c r="G1309" s="195" t="s">
        <v>688</v>
      </c>
    </row>
    <row r="1310" spans="1:7">
      <c r="A1310" s="194" t="s">
        <v>576</v>
      </c>
      <c r="B1310" s="195">
        <v>-23</v>
      </c>
      <c r="C1310" s="195">
        <v>0</v>
      </c>
      <c r="D1310" s="196" t="s">
        <v>282</v>
      </c>
      <c r="E1310" s="196" t="s">
        <v>319</v>
      </c>
      <c r="F1310" s="195" t="s">
        <v>408</v>
      </c>
      <c r="G1310" s="195" t="s">
        <v>688</v>
      </c>
    </row>
    <row r="1311" spans="1:7">
      <c r="A1311" s="194" t="s">
        <v>576</v>
      </c>
      <c r="B1311" s="195">
        <v>-8</v>
      </c>
      <c r="C1311" s="195">
        <v>0</v>
      </c>
      <c r="D1311" s="196" t="s">
        <v>282</v>
      </c>
      <c r="E1311" s="196" t="s">
        <v>319</v>
      </c>
      <c r="F1311" s="195" t="s">
        <v>393</v>
      </c>
      <c r="G1311" s="195" t="s">
        <v>688</v>
      </c>
    </row>
    <row r="1312" spans="1:7">
      <c r="A1312" s="194" t="s">
        <v>576</v>
      </c>
      <c r="B1312" s="195">
        <v>4</v>
      </c>
      <c r="C1312" s="195">
        <v>0</v>
      </c>
      <c r="D1312" s="196" t="s">
        <v>282</v>
      </c>
      <c r="E1312" s="196" t="s">
        <v>319</v>
      </c>
      <c r="F1312" s="195" t="s">
        <v>441</v>
      </c>
      <c r="G1312" s="195" t="s">
        <v>688</v>
      </c>
    </row>
    <row r="1313" spans="1:7">
      <c r="A1313" s="194" t="s">
        <v>577</v>
      </c>
      <c r="B1313" s="195">
        <v>7</v>
      </c>
      <c r="C1313" s="195">
        <v>0</v>
      </c>
      <c r="D1313" s="196" t="s">
        <v>282</v>
      </c>
      <c r="E1313" s="196" t="s">
        <v>319</v>
      </c>
      <c r="F1313" s="195" t="s">
        <v>408</v>
      </c>
      <c r="G1313" s="195" t="s">
        <v>688</v>
      </c>
    </row>
    <row r="1314" spans="1:7">
      <c r="A1314" s="194" t="s">
        <v>577</v>
      </c>
      <c r="B1314" s="195">
        <v>-7</v>
      </c>
      <c r="C1314" s="195">
        <v>0</v>
      </c>
      <c r="D1314" s="196" t="s">
        <v>282</v>
      </c>
      <c r="E1314" s="196" t="s">
        <v>319</v>
      </c>
      <c r="F1314" s="195" t="s">
        <v>393</v>
      </c>
      <c r="G1314" s="195" t="s">
        <v>688</v>
      </c>
    </row>
    <row r="1315" spans="1:7">
      <c r="A1315" s="194" t="s">
        <v>578</v>
      </c>
      <c r="B1315" s="195">
        <v>-39</v>
      </c>
      <c r="C1315" s="195">
        <v>0</v>
      </c>
      <c r="D1315" s="196" t="s">
        <v>282</v>
      </c>
      <c r="E1315" s="196" t="s">
        <v>319</v>
      </c>
      <c r="F1315" s="195" t="s">
        <v>394</v>
      </c>
      <c r="G1315" s="195" t="s">
        <v>688</v>
      </c>
    </row>
    <row r="1316" spans="1:7">
      <c r="A1316" s="194" t="s">
        <v>578</v>
      </c>
      <c r="B1316" s="195">
        <v>20</v>
      </c>
      <c r="C1316" s="195">
        <v>0</v>
      </c>
      <c r="D1316" s="196" t="s">
        <v>282</v>
      </c>
      <c r="E1316" s="196" t="s">
        <v>319</v>
      </c>
      <c r="F1316" s="195" t="s">
        <v>408</v>
      </c>
      <c r="G1316" s="195" t="s">
        <v>688</v>
      </c>
    </row>
    <row r="1317" spans="1:7">
      <c r="A1317" s="194" t="s">
        <v>578</v>
      </c>
      <c r="B1317" s="195">
        <v>19</v>
      </c>
      <c r="C1317" s="195">
        <v>0</v>
      </c>
      <c r="D1317" s="196" t="s">
        <v>282</v>
      </c>
      <c r="E1317" s="196" t="s">
        <v>319</v>
      </c>
      <c r="F1317" s="195" t="s">
        <v>393</v>
      </c>
      <c r="G1317" s="195" t="s">
        <v>688</v>
      </c>
    </row>
    <row r="1318" spans="1:7">
      <c r="A1318" s="194" t="s">
        <v>579</v>
      </c>
      <c r="B1318" s="195">
        <v>-8</v>
      </c>
      <c r="C1318" s="195">
        <v>0</v>
      </c>
      <c r="D1318" s="196" t="s">
        <v>282</v>
      </c>
      <c r="E1318" s="196" t="s">
        <v>319</v>
      </c>
      <c r="F1318" s="195" t="s">
        <v>408</v>
      </c>
      <c r="G1318" s="195" t="s">
        <v>688</v>
      </c>
    </row>
    <row r="1319" spans="1:7">
      <c r="A1319" s="194" t="s">
        <v>579</v>
      </c>
      <c r="B1319" s="195">
        <v>8</v>
      </c>
      <c r="C1319" s="195">
        <v>0</v>
      </c>
      <c r="D1319" s="196" t="s">
        <v>282</v>
      </c>
      <c r="E1319" s="196" t="s">
        <v>319</v>
      </c>
      <c r="F1319" s="195" t="s">
        <v>393</v>
      </c>
      <c r="G1319" s="195" t="s">
        <v>688</v>
      </c>
    </row>
    <row r="1320" spans="1:7" hidden="1">
      <c r="A1320" s="194" t="s">
        <v>580</v>
      </c>
      <c r="B1320" s="195">
        <v>-2</v>
      </c>
      <c r="C1320" s="195">
        <v>0</v>
      </c>
      <c r="D1320" s="196" t="s">
        <v>283</v>
      </c>
      <c r="E1320" s="196" t="s">
        <v>319</v>
      </c>
      <c r="F1320" s="195" t="s">
        <v>394</v>
      </c>
      <c r="G1320" s="195" t="s">
        <v>688</v>
      </c>
    </row>
    <row r="1321" spans="1:7">
      <c r="A1321" s="194" t="s">
        <v>580</v>
      </c>
      <c r="B1321" s="195">
        <v>2</v>
      </c>
      <c r="C1321" s="195">
        <v>0</v>
      </c>
      <c r="D1321" s="196" t="s">
        <v>282</v>
      </c>
      <c r="E1321" s="196" t="s">
        <v>319</v>
      </c>
      <c r="F1321" s="195" t="s">
        <v>394</v>
      </c>
      <c r="G1321" s="195" t="s">
        <v>688</v>
      </c>
    </row>
    <row r="1322" spans="1:7">
      <c r="A1322" s="194" t="s">
        <v>580</v>
      </c>
      <c r="B1322" s="195">
        <v>-41</v>
      </c>
      <c r="C1322" s="195">
        <v>0</v>
      </c>
      <c r="D1322" s="196" t="s">
        <v>282</v>
      </c>
      <c r="E1322" s="196" t="s">
        <v>319</v>
      </c>
      <c r="F1322" s="195" t="s">
        <v>408</v>
      </c>
      <c r="G1322" s="195" t="s">
        <v>688</v>
      </c>
    </row>
    <row r="1323" spans="1:7">
      <c r="A1323" s="194" t="s">
        <v>580</v>
      </c>
      <c r="B1323" s="195">
        <v>41</v>
      </c>
      <c r="C1323" s="195">
        <v>0</v>
      </c>
      <c r="D1323" s="196" t="s">
        <v>282</v>
      </c>
      <c r="E1323" s="196" t="s">
        <v>319</v>
      </c>
      <c r="F1323" s="195" t="s">
        <v>393</v>
      </c>
      <c r="G1323" s="195" t="s">
        <v>688</v>
      </c>
    </row>
    <row r="1324" spans="1:7">
      <c r="A1324" s="194" t="s">
        <v>581</v>
      </c>
      <c r="B1324" s="195">
        <v>178</v>
      </c>
      <c r="C1324" s="195">
        <v>0</v>
      </c>
      <c r="D1324" s="196" t="s">
        <v>282</v>
      </c>
      <c r="E1324" s="196" t="s">
        <v>319</v>
      </c>
      <c r="F1324" s="195" t="s">
        <v>394</v>
      </c>
      <c r="G1324" s="195" t="s">
        <v>688</v>
      </c>
    </row>
    <row r="1325" spans="1:7">
      <c r="A1325" s="194" t="s">
        <v>581</v>
      </c>
      <c r="B1325" s="195">
        <v>-178</v>
      </c>
      <c r="C1325" s="195">
        <v>0</v>
      </c>
      <c r="D1325" s="196" t="s">
        <v>282</v>
      </c>
      <c r="E1325" s="196" t="s">
        <v>319</v>
      </c>
      <c r="F1325" s="195" t="s">
        <v>408</v>
      </c>
      <c r="G1325" s="195" t="s">
        <v>688</v>
      </c>
    </row>
    <row r="1326" spans="1:7" hidden="1">
      <c r="A1326" s="194" t="s">
        <v>582</v>
      </c>
      <c r="B1326" s="195">
        <v>1</v>
      </c>
      <c r="C1326" s="195">
        <v>0</v>
      </c>
      <c r="D1326" s="196" t="s">
        <v>283</v>
      </c>
      <c r="E1326" s="196" t="s">
        <v>319</v>
      </c>
      <c r="F1326" s="195" t="s">
        <v>394</v>
      </c>
      <c r="G1326" s="195" t="s">
        <v>688</v>
      </c>
    </row>
    <row r="1327" spans="1:7">
      <c r="A1327" s="194" t="s">
        <v>582</v>
      </c>
      <c r="B1327" s="195">
        <v>-1</v>
      </c>
      <c r="C1327" s="195">
        <v>0</v>
      </c>
      <c r="D1327" s="196" t="s">
        <v>282</v>
      </c>
      <c r="E1327" s="196" t="s">
        <v>319</v>
      </c>
      <c r="F1327" s="195" t="s">
        <v>394</v>
      </c>
      <c r="G1327" s="195" t="s">
        <v>688</v>
      </c>
    </row>
    <row r="1328" spans="1:7">
      <c r="A1328" s="194" t="s">
        <v>582</v>
      </c>
      <c r="B1328" s="195">
        <v>41</v>
      </c>
      <c r="C1328" s="195">
        <v>0</v>
      </c>
      <c r="D1328" s="196" t="s">
        <v>282</v>
      </c>
      <c r="E1328" s="196" t="s">
        <v>319</v>
      </c>
      <c r="F1328" s="195" t="s">
        <v>408</v>
      </c>
      <c r="G1328" s="195" t="s">
        <v>688</v>
      </c>
    </row>
    <row r="1329" spans="1:7">
      <c r="A1329" s="194" t="s">
        <v>582</v>
      </c>
      <c r="B1329" s="195">
        <v>-41</v>
      </c>
      <c r="C1329" s="195">
        <v>0</v>
      </c>
      <c r="D1329" s="196" t="s">
        <v>282</v>
      </c>
      <c r="E1329" s="196" t="s">
        <v>319</v>
      </c>
      <c r="F1329" s="195" t="s">
        <v>393</v>
      </c>
      <c r="G1329" s="195" t="s">
        <v>688</v>
      </c>
    </row>
    <row r="1330" spans="1:7">
      <c r="A1330" s="194" t="s">
        <v>583</v>
      </c>
      <c r="B1330" s="195">
        <v>-178</v>
      </c>
      <c r="C1330" s="195">
        <v>0</v>
      </c>
      <c r="D1330" s="196" t="s">
        <v>282</v>
      </c>
      <c r="E1330" s="196" t="s">
        <v>319</v>
      </c>
      <c r="F1330" s="195" t="s">
        <v>394</v>
      </c>
      <c r="G1330" s="195" t="s">
        <v>688</v>
      </c>
    </row>
    <row r="1331" spans="1:7">
      <c r="A1331" s="194" t="s">
        <v>583</v>
      </c>
      <c r="B1331" s="195">
        <v>178</v>
      </c>
      <c r="C1331" s="195">
        <v>0</v>
      </c>
      <c r="D1331" s="196" t="s">
        <v>282</v>
      </c>
      <c r="E1331" s="196" t="s">
        <v>319</v>
      </c>
      <c r="F1331" s="195" t="s">
        <v>408</v>
      </c>
      <c r="G1331" s="195" t="s">
        <v>688</v>
      </c>
    </row>
    <row r="1332" spans="1:7" hidden="1">
      <c r="A1332" s="194" t="s">
        <v>584</v>
      </c>
      <c r="B1332" s="195">
        <v>15535</v>
      </c>
      <c r="C1332" s="195">
        <v>0</v>
      </c>
      <c r="D1332" s="196" t="s">
        <v>440</v>
      </c>
      <c r="E1332" s="196" t="s">
        <v>317</v>
      </c>
      <c r="F1332" s="195" t="s">
        <v>394</v>
      </c>
      <c r="G1332" s="195" t="s">
        <v>688</v>
      </c>
    </row>
    <row r="1333" spans="1:7" hidden="1">
      <c r="A1333" s="194" t="s">
        <v>584</v>
      </c>
      <c r="B1333" s="195">
        <v>-4755</v>
      </c>
      <c r="C1333" s="195">
        <v>0</v>
      </c>
      <c r="D1333" s="196" t="s">
        <v>440</v>
      </c>
      <c r="E1333" s="196" t="s">
        <v>317</v>
      </c>
      <c r="F1333" s="195" t="s">
        <v>407</v>
      </c>
      <c r="G1333" s="195" t="s">
        <v>688</v>
      </c>
    </row>
    <row r="1334" spans="1:7" hidden="1">
      <c r="A1334" s="194" t="s">
        <v>584</v>
      </c>
      <c r="B1334" s="195">
        <v>-13934</v>
      </c>
      <c r="C1334" s="195">
        <v>0</v>
      </c>
      <c r="D1334" s="196" t="s">
        <v>474</v>
      </c>
      <c r="E1334" s="196" t="s">
        <v>317</v>
      </c>
      <c r="F1334" s="195" t="s">
        <v>394</v>
      </c>
      <c r="G1334" s="195" t="s">
        <v>688</v>
      </c>
    </row>
    <row r="1335" spans="1:7" hidden="1">
      <c r="A1335" s="194" t="s">
        <v>585</v>
      </c>
      <c r="B1335" s="195">
        <v>-12977</v>
      </c>
      <c r="C1335" s="195">
        <v>0</v>
      </c>
      <c r="D1335" s="196" t="s">
        <v>440</v>
      </c>
      <c r="E1335" s="196" t="s">
        <v>317</v>
      </c>
      <c r="F1335" s="195" t="s">
        <v>407</v>
      </c>
      <c r="G1335" s="195" t="s">
        <v>688</v>
      </c>
    </row>
    <row r="1336" spans="1:7" hidden="1">
      <c r="A1336" s="194" t="s">
        <v>585</v>
      </c>
      <c r="B1336" s="195">
        <v>-1976</v>
      </c>
      <c r="C1336" s="195">
        <v>0</v>
      </c>
      <c r="D1336" s="196" t="s">
        <v>545</v>
      </c>
      <c r="E1336" s="196" t="s">
        <v>317</v>
      </c>
      <c r="F1336" s="195" t="s">
        <v>407</v>
      </c>
      <c r="G1336" s="195" t="s">
        <v>688</v>
      </c>
    </row>
    <row r="1337" spans="1:7" hidden="1">
      <c r="A1337" s="194" t="s">
        <v>586</v>
      </c>
      <c r="B1337" s="195">
        <v>-45436</v>
      </c>
      <c r="C1337" s="195">
        <v>0</v>
      </c>
      <c r="D1337" s="196" t="s">
        <v>440</v>
      </c>
      <c r="E1337" s="196" t="s">
        <v>39</v>
      </c>
      <c r="F1337" s="195" t="s">
        <v>394</v>
      </c>
      <c r="G1337" s="195" t="s">
        <v>688</v>
      </c>
    </row>
    <row r="1338" spans="1:7" hidden="1">
      <c r="A1338" s="194" t="s">
        <v>586</v>
      </c>
      <c r="B1338" s="195">
        <v>-5876</v>
      </c>
      <c r="C1338" s="195">
        <v>0</v>
      </c>
      <c r="D1338" s="196" t="s">
        <v>442</v>
      </c>
      <c r="E1338" s="196" t="s">
        <v>39</v>
      </c>
      <c r="F1338" s="195" t="s">
        <v>394</v>
      </c>
      <c r="G1338" s="195" t="s">
        <v>688</v>
      </c>
    </row>
    <row r="1339" spans="1:7">
      <c r="A1339" s="194" t="s">
        <v>716</v>
      </c>
      <c r="B1339" s="195">
        <v>109</v>
      </c>
      <c r="C1339" s="195">
        <v>0</v>
      </c>
      <c r="D1339" s="196" t="s">
        <v>282</v>
      </c>
      <c r="E1339" s="196" t="s">
        <v>317</v>
      </c>
      <c r="F1339" s="195" t="s">
        <v>394</v>
      </c>
      <c r="G1339" s="195" t="s">
        <v>688</v>
      </c>
    </row>
    <row r="1340" spans="1:7">
      <c r="A1340" s="194" t="s">
        <v>716</v>
      </c>
      <c r="B1340" s="195">
        <v>-109</v>
      </c>
      <c r="C1340" s="195">
        <v>0</v>
      </c>
      <c r="D1340" s="196" t="s">
        <v>282</v>
      </c>
      <c r="E1340" s="196" t="s">
        <v>317</v>
      </c>
      <c r="F1340" s="195" t="s">
        <v>449</v>
      </c>
      <c r="G1340" s="195" t="s">
        <v>688</v>
      </c>
    </row>
    <row r="1341" spans="1:7" hidden="1">
      <c r="A1341" s="194" t="s">
        <v>593</v>
      </c>
      <c r="B1341" s="195">
        <v>-27</v>
      </c>
      <c r="C1341" s="195">
        <v>0</v>
      </c>
      <c r="D1341" s="196" t="s">
        <v>437</v>
      </c>
      <c r="E1341" s="196" t="s">
        <v>594</v>
      </c>
      <c r="F1341" s="195" t="s">
        <v>394</v>
      </c>
      <c r="G1341" s="195" t="s">
        <v>688</v>
      </c>
    </row>
    <row r="1342" spans="1:7" hidden="1">
      <c r="A1342" s="194" t="s">
        <v>593</v>
      </c>
      <c r="B1342" s="195">
        <v>27</v>
      </c>
      <c r="C1342" s="195">
        <v>0</v>
      </c>
      <c r="D1342" s="196" t="s">
        <v>437</v>
      </c>
      <c r="E1342" s="196" t="s">
        <v>594</v>
      </c>
      <c r="F1342" s="195" t="s">
        <v>409</v>
      </c>
      <c r="G1342" s="195" t="s">
        <v>688</v>
      </c>
    </row>
    <row r="1343" spans="1:7" hidden="1">
      <c r="A1343" s="194" t="s">
        <v>595</v>
      </c>
      <c r="B1343" s="195">
        <v>27</v>
      </c>
      <c r="C1343" s="195">
        <v>0</v>
      </c>
      <c r="D1343" s="196" t="s">
        <v>437</v>
      </c>
      <c r="E1343" s="196" t="s">
        <v>594</v>
      </c>
      <c r="F1343" s="195" t="s">
        <v>394</v>
      </c>
      <c r="G1343" s="195" t="s">
        <v>688</v>
      </c>
    </row>
    <row r="1344" spans="1:7" hidden="1">
      <c r="A1344" s="194" t="s">
        <v>595</v>
      </c>
      <c r="B1344" s="195">
        <v>-27</v>
      </c>
      <c r="C1344" s="195">
        <v>0</v>
      </c>
      <c r="D1344" s="196" t="s">
        <v>437</v>
      </c>
      <c r="E1344" s="196" t="s">
        <v>594</v>
      </c>
      <c r="F1344" s="195" t="s">
        <v>409</v>
      </c>
      <c r="G1344" s="195" t="s">
        <v>688</v>
      </c>
    </row>
    <row r="1345" spans="1:7" hidden="1">
      <c r="A1345" s="194" t="s">
        <v>596</v>
      </c>
      <c r="B1345" s="195">
        <v>147</v>
      </c>
      <c r="C1345" s="195">
        <v>0</v>
      </c>
      <c r="D1345" s="196" t="s">
        <v>442</v>
      </c>
      <c r="E1345" s="196" t="s">
        <v>597</v>
      </c>
      <c r="F1345" s="195" t="s">
        <v>394</v>
      </c>
      <c r="G1345" s="195" t="s">
        <v>688</v>
      </c>
    </row>
    <row r="1346" spans="1:7" hidden="1">
      <c r="A1346" s="194" t="s">
        <v>598</v>
      </c>
      <c r="B1346" s="195">
        <v>-940</v>
      </c>
      <c r="C1346" s="195">
        <v>0</v>
      </c>
      <c r="D1346" s="196" t="s">
        <v>440</v>
      </c>
      <c r="E1346" s="196" t="s">
        <v>317</v>
      </c>
      <c r="F1346" s="195" t="s">
        <v>394</v>
      </c>
      <c r="G1346" s="195" t="s">
        <v>688</v>
      </c>
    </row>
    <row r="1347" spans="1:7" hidden="1">
      <c r="A1347" s="194" t="s">
        <v>598</v>
      </c>
      <c r="B1347" s="195">
        <v>-673</v>
      </c>
      <c r="C1347" s="195">
        <v>0</v>
      </c>
      <c r="D1347" s="196" t="s">
        <v>442</v>
      </c>
      <c r="E1347" s="196" t="s">
        <v>317</v>
      </c>
      <c r="F1347" s="195" t="s">
        <v>394</v>
      </c>
      <c r="G1347" s="195" t="s">
        <v>688</v>
      </c>
    </row>
    <row r="1348" spans="1:7" hidden="1">
      <c r="A1348" s="194" t="s">
        <v>717</v>
      </c>
      <c r="B1348" s="195">
        <v>-28400</v>
      </c>
      <c r="C1348" s="195">
        <v>0</v>
      </c>
      <c r="D1348" s="196" t="s">
        <v>442</v>
      </c>
      <c r="E1348" s="196" t="s">
        <v>692</v>
      </c>
      <c r="F1348" s="195" t="s">
        <v>409</v>
      </c>
      <c r="G1348" s="195" t="s">
        <v>688</v>
      </c>
    </row>
    <row r="1349" spans="1:7" hidden="1">
      <c r="A1349" s="194" t="s">
        <v>718</v>
      </c>
      <c r="B1349" s="195">
        <v>-157500</v>
      </c>
      <c r="C1349" s="195">
        <v>0</v>
      </c>
      <c r="D1349" s="196" t="s">
        <v>440</v>
      </c>
      <c r="E1349" s="196" t="s">
        <v>692</v>
      </c>
      <c r="F1349" s="195" t="s">
        <v>409</v>
      </c>
      <c r="G1349" s="195" t="s">
        <v>688</v>
      </c>
    </row>
    <row r="1350" spans="1:7" hidden="1">
      <c r="A1350" s="194" t="s">
        <v>719</v>
      </c>
      <c r="B1350" s="195">
        <v>157500</v>
      </c>
      <c r="C1350" s="195">
        <v>0</v>
      </c>
      <c r="D1350" s="196" t="s">
        <v>440</v>
      </c>
      <c r="E1350" s="196" t="s">
        <v>692</v>
      </c>
      <c r="F1350" s="195" t="s">
        <v>409</v>
      </c>
      <c r="G1350" s="195" t="s">
        <v>688</v>
      </c>
    </row>
    <row r="1351" spans="1:7" hidden="1">
      <c r="A1351" s="194" t="s">
        <v>720</v>
      </c>
      <c r="B1351" s="195">
        <v>-28400</v>
      </c>
      <c r="C1351" s="195">
        <v>0</v>
      </c>
      <c r="D1351" s="196" t="s">
        <v>442</v>
      </c>
      <c r="E1351" s="196" t="s">
        <v>692</v>
      </c>
      <c r="F1351" s="195" t="s">
        <v>409</v>
      </c>
      <c r="G1351" s="195" t="s">
        <v>688</v>
      </c>
    </row>
    <row r="1352" spans="1:7" hidden="1">
      <c r="A1352" s="194" t="s">
        <v>721</v>
      </c>
      <c r="B1352" s="195">
        <v>28400</v>
      </c>
      <c r="C1352" s="195">
        <v>0</v>
      </c>
      <c r="D1352" s="196" t="s">
        <v>442</v>
      </c>
      <c r="E1352" s="196" t="s">
        <v>692</v>
      </c>
      <c r="F1352" s="195" t="s">
        <v>409</v>
      </c>
      <c r="G1352" s="195" t="s">
        <v>688</v>
      </c>
    </row>
    <row r="1353" spans="1:7">
      <c r="A1353" s="194" t="s">
        <v>599</v>
      </c>
      <c r="B1353" s="195">
        <v>30</v>
      </c>
      <c r="C1353" s="195">
        <v>0</v>
      </c>
      <c r="D1353" s="196" t="s">
        <v>282</v>
      </c>
      <c r="E1353" s="196" t="s">
        <v>317</v>
      </c>
      <c r="F1353" s="195" t="s">
        <v>394</v>
      </c>
      <c r="G1353" s="195" t="s">
        <v>688</v>
      </c>
    </row>
    <row r="1354" spans="1:7">
      <c r="A1354" s="194" t="s">
        <v>599</v>
      </c>
      <c r="B1354" s="195">
        <v>-296</v>
      </c>
      <c r="C1354" s="195">
        <v>0</v>
      </c>
      <c r="D1354" s="196" t="s">
        <v>282</v>
      </c>
      <c r="E1354" s="196" t="s">
        <v>317</v>
      </c>
      <c r="F1354" s="195" t="s">
        <v>393</v>
      </c>
      <c r="G1354" s="195" t="s">
        <v>688</v>
      </c>
    </row>
    <row r="1355" spans="1:7">
      <c r="A1355" s="194" t="s">
        <v>599</v>
      </c>
      <c r="B1355" s="195">
        <v>266</v>
      </c>
      <c r="C1355" s="195">
        <v>0</v>
      </c>
      <c r="D1355" s="196" t="s">
        <v>282</v>
      </c>
      <c r="E1355" s="196" t="s">
        <v>317</v>
      </c>
      <c r="F1355" s="195" t="s">
        <v>403</v>
      </c>
      <c r="G1355" s="195" t="s">
        <v>688</v>
      </c>
    </row>
    <row r="1356" spans="1:7">
      <c r="A1356" s="194" t="s">
        <v>600</v>
      </c>
      <c r="B1356" s="195">
        <v>36</v>
      </c>
      <c r="C1356" s="195">
        <v>0</v>
      </c>
      <c r="D1356" s="196" t="s">
        <v>282</v>
      </c>
      <c r="E1356" s="196" t="s">
        <v>319</v>
      </c>
      <c r="F1356" s="195" t="s">
        <v>408</v>
      </c>
      <c r="G1356" s="195" t="s">
        <v>688</v>
      </c>
    </row>
    <row r="1357" spans="1:7">
      <c r="A1357" s="194" t="s">
        <v>600</v>
      </c>
      <c r="B1357" s="195">
        <v>-36</v>
      </c>
      <c r="C1357" s="195">
        <v>0</v>
      </c>
      <c r="D1357" s="196" t="s">
        <v>282</v>
      </c>
      <c r="E1357" s="196" t="s">
        <v>319</v>
      </c>
      <c r="F1357" s="195" t="s">
        <v>393</v>
      </c>
      <c r="G1357" s="195" t="s">
        <v>688</v>
      </c>
    </row>
    <row r="1358" spans="1:7">
      <c r="A1358" s="194" t="s">
        <v>601</v>
      </c>
      <c r="B1358" s="195">
        <v>-37</v>
      </c>
      <c r="C1358" s="195">
        <v>0</v>
      </c>
      <c r="D1358" s="196" t="s">
        <v>282</v>
      </c>
      <c r="E1358" s="196" t="s">
        <v>319</v>
      </c>
      <c r="F1358" s="195" t="s">
        <v>408</v>
      </c>
      <c r="G1358" s="195" t="s">
        <v>688</v>
      </c>
    </row>
    <row r="1359" spans="1:7">
      <c r="A1359" s="194" t="s">
        <v>601</v>
      </c>
      <c r="B1359" s="195">
        <v>37</v>
      </c>
      <c r="C1359" s="195">
        <v>0</v>
      </c>
      <c r="D1359" s="196" t="s">
        <v>282</v>
      </c>
      <c r="E1359" s="196" t="s">
        <v>319</v>
      </c>
      <c r="F1359" s="195" t="s">
        <v>393</v>
      </c>
      <c r="G1359" s="195" t="s">
        <v>688</v>
      </c>
    </row>
    <row r="1360" spans="1:7">
      <c r="A1360" s="194" t="s">
        <v>602</v>
      </c>
      <c r="B1360" s="195">
        <v>-158</v>
      </c>
      <c r="C1360" s="195">
        <v>0</v>
      </c>
      <c r="D1360" s="196" t="s">
        <v>282</v>
      </c>
      <c r="E1360" s="196" t="s">
        <v>317</v>
      </c>
      <c r="F1360" s="195" t="s">
        <v>394</v>
      </c>
      <c r="G1360" s="195" t="s">
        <v>688</v>
      </c>
    </row>
    <row r="1361" spans="1:7">
      <c r="A1361" s="194" t="s">
        <v>602</v>
      </c>
      <c r="B1361" s="195">
        <v>158</v>
      </c>
      <c r="C1361" s="195">
        <v>0</v>
      </c>
      <c r="D1361" s="196" t="s">
        <v>282</v>
      </c>
      <c r="E1361" s="196" t="s">
        <v>317</v>
      </c>
      <c r="F1361" s="195" t="s">
        <v>393</v>
      </c>
      <c r="G1361" s="195" t="s">
        <v>688</v>
      </c>
    </row>
    <row r="1362" spans="1:7" hidden="1">
      <c r="A1362" s="194" t="s">
        <v>135</v>
      </c>
      <c r="B1362" s="195">
        <v>-422</v>
      </c>
      <c r="C1362" s="195">
        <v>0</v>
      </c>
      <c r="D1362" s="196" t="s">
        <v>283</v>
      </c>
      <c r="E1362" s="196" t="s">
        <v>320</v>
      </c>
      <c r="F1362" s="195" t="s">
        <v>394</v>
      </c>
      <c r="G1362" s="195" t="s">
        <v>688</v>
      </c>
    </row>
    <row r="1363" spans="1:7" hidden="1">
      <c r="A1363" s="194" t="s">
        <v>135</v>
      </c>
      <c r="B1363" s="195">
        <v>551</v>
      </c>
      <c r="C1363" s="195">
        <v>0</v>
      </c>
      <c r="D1363" s="196" t="s">
        <v>283</v>
      </c>
      <c r="E1363" s="196" t="s">
        <v>320</v>
      </c>
      <c r="F1363" s="195" t="s">
        <v>393</v>
      </c>
      <c r="G1363" s="195" t="s">
        <v>688</v>
      </c>
    </row>
    <row r="1364" spans="1:7" hidden="1">
      <c r="A1364" s="194" t="s">
        <v>135</v>
      </c>
      <c r="B1364" s="195">
        <v>-129</v>
      </c>
      <c r="C1364" s="195">
        <v>0</v>
      </c>
      <c r="D1364" s="196" t="s">
        <v>283</v>
      </c>
      <c r="E1364" s="196" t="s">
        <v>320</v>
      </c>
      <c r="F1364" s="195" t="s">
        <v>441</v>
      </c>
      <c r="G1364" s="195" t="s">
        <v>688</v>
      </c>
    </row>
    <row r="1365" spans="1:7">
      <c r="A1365" s="194" t="s">
        <v>135</v>
      </c>
      <c r="B1365" s="195">
        <v>-3972</v>
      </c>
      <c r="C1365" s="195">
        <v>0</v>
      </c>
      <c r="D1365" s="196" t="s">
        <v>282</v>
      </c>
      <c r="E1365" s="196" t="s">
        <v>320</v>
      </c>
      <c r="F1365" s="195" t="s">
        <v>394</v>
      </c>
      <c r="G1365" s="195" t="s">
        <v>688</v>
      </c>
    </row>
    <row r="1366" spans="1:7">
      <c r="A1366" s="194" t="s">
        <v>135</v>
      </c>
      <c r="B1366" s="195">
        <v>-211</v>
      </c>
      <c r="C1366" s="195">
        <v>0</v>
      </c>
      <c r="D1366" s="196" t="s">
        <v>282</v>
      </c>
      <c r="E1366" s="196" t="s">
        <v>320</v>
      </c>
      <c r="F1366" s="195" t="s">
        <v>445</v>
      </c>
      <c r="G1366" s="195" t="s">
        <v>688</v>
      </c>
    </row>
    <row r="1367" spans="1:7">
      <c r="A1367" s="194" t="s">
        <v>135</v>
      </c>
      <c r="B1367" s="195">
        <v>3727</v>
      </c>
      <c r="C1367" s="195">
        <v>0</v>
      </c>
      <c r="D1367" s="196" t="s">
        <v>282</v>
      </c>
      <c r="E1367" s="196" t="s">
        <v>320</v>
      </c>
      <c r="F1367" s="195" t="s">
        <v>393</v>
      </c>
      <c r="G1367" s="195" t="s">
        <v>688</v>
      </c>
    </row>
    <row r="1368" spans="1:7">
      <c r="A1368" s="194" t="s">
        <v>135</v>
      </c>
      <c r="B1368" s="195">
        <v>472</v>
      </c>
      <c r="C1368" s="195">
        <v>0</v>
      </c>
      <c r="D1368" s="196" t="s">
        <v>282</v>
      </c>
      <c r="E1368" s="196" t="s">
        <v>320</v>
      </c>
      <c r="F1368" s="195" t="s">
        <v>413</v>
      </c>
      <c r="G1368" s="195" t="s">
        <v>688</v>
      </c>
    </row>
    <row r="1369" spans="1:7">
      <c r="A1369" s="194" t="s">
        <v>135</v>
      </c>
      <c r="B1369" s="195">
        <v>-145</v>
      </c>
      <c r="C1369" s="195">
        <v>0</v>
      </c>
      <c r="D1369" s="196" t="s">
        <v>282</v>
      </c>
      <c r="E1369" s="196" t="s">
        <v>320</v>
      </c>
      <c r="F1369" s="195" t="s">
        <v>403</v>
      </c>
      <c r="G1369" s="195" t="s">
        <v>688</v>
      </c>
    </row>
    <row r="1370" spans="1:7">
      <c r="A1370" s="194" t="s">
        <v>135</v>
      </c>
      <c r="B1370" s="195">
        <v>129</v>
      </c>
      <c r="C1370" s="195">
        <v>0</v>
      </c>
      <c r="D1370" s="196" t="s">
        <v>282</v>
      </c>
      <c r="E1370" s="196" t="s">
        <v>320</v>
      </c>
      <c r="F1370" s="195" t="s">
        <v>441</v>
      </c>
      <c r="G1370" s="195" t="s">
        <v>688</v>
      </c>
    </row>
    <row r="1371" spans="1:7" hidden="1">
      <c r="A1371" s="194" t="s">
        <v>603</v>
      </c>
      <c r="B1371" s="195">
        <v>75</v>
      </c>
      <c r="C1371" s="195">
        <v>0</v>
      </c>
      <c r="D1371" s="196" t="s">
        <v>283</v>
      </c>
      <c r="E1371" s="196" t="s">
        <v>324</v>
      </c>
      <c r="F1371" s="195" t="s">
        <v>394</v>
      </c>
      <c r="G1371" s="195" t="s">
        <v>688</v>
      </c>
    </row>
    <row r="1372" spans="1:7">
      <c r="A1372" s="194" t="s">
        <v>603</v>
      </c>
      <c r="B1372" s="195">
        <v>-75</v>
      </c>
      <c r="C1372" s="195">
        <v>0</v>
      </c>
      <c r="D1372" s="196" t="s">
        <v>282</v>
      </c>
      <c r="E1372" s="196" t="s">
        <v>324</v>
      </c>
      <c r="F1372" s="195" t="s">
        <v>394</v>
      </c>
      <c r="G1372" s="195" t="s">
        <v>688</v>
      </c>
    </row>
    <row r="1373" spans="1:7">
      <c r="A1373" s="194" t="s">
        <v>603</v>
      </c>
      <c r="B1373" s="195">
        <v>147</v>
      </c>
      <c r="C1373" s="195">
        <v>0</v>
      </c>
      <c r="D1373" s="196" t="s">
        <v>282</v>
      </c>
      <c r="E1373" s="196" t="s">
        <v>324</v>
      </c>
      <c r="F1373" s="195" t="s">
        <v>408</v>
      </c>
      <c r="G1373" s="195" t="s">
        <v>688</v>
      </c>
    </row>
    <row r="1374" spans="1:7" hidden="1">
      <c r="A1374" s="194" t="s">
        <v>604</v>
      </c>
      <c r="B1374" s="195">
        <v>-73</v>
      </c>
      <c r="C1374" s="195">
        <v>0</v>
      </c>
      <c r="D1374" s="196" t="s">
        <v>283</v>
      </c>
      <c r="E1374" s="196" t="s">
        <v>324</v>
      </c>
      <c r="F1374" s="195" t="s">
        <v>394</v>
      </c>
      <c r="G1374" s="195" t="s">
        <v>688</v>
      </c>
    </row>
    <row r="1375" spans="1:7">
      <c r="A1375" s="194" t="s">
        <v>604</v>
      </c>
      <c r="B1375" s="195">
        <v>-73</v>
      </c>
      <c r="C1375" s="195">
        <v>0</v>
      </c>
      <c r="D1375" s="196" t="s">
        <v>282</v>
      </c>
      <c r="E1375" s="196" t="s">
        <v>324</v>
      </c>
      <c r="F1375" s="195" t="s">
        <v>394</v>
      </c>
      <c r="G1375" s="195" t="s">
        <v>688</v>
      </c>
    </row>
    <row r="1376" spans="1:7">
      <c r="A1376" s="194" t="s">
        <v>605</v>
      </c>
      <c r="B1376" s="195">
        <v>-18</v>
      </c>
      <c r="C1376" s="195">
        <v>0</v>
      </c>
      <c r="D1376" s="196" t="s">
        <v>282</v>
      </c>
      <c r="E1376" s="196" t="s">
        <v>324</v>
      </c>
      <c r="F1376" s="195" t="s">
        <v>408</v>
      </c>
      <c r="G1376" s="195" t="s">
        <v>688</v>
      </c>
    </row>
    <row r="1377" spans="1:7">
      <c r="A1377" s="194" t="s">
        <v>605</v>
      </c>
      <c r="B1377" s="195">
        <v>18</v>
      </c>
      <c r="C1377" s="195">
        <v>0</v>
      </c>
      <c r="D1377" s="196" t="s">
        <v>282</v>
      </c>
      <c r="E1377" s="196" t="s">
        <v>324</v>
      </c>
      <c r="F1377" s="195" t="s">
        <v>393</v>
      </c>
      <c r="G1377" s="195" t="s">
        <v>688</v>
      </c>
    </row>
    <row r="1378" spans="1:7">
      <c r="A1378" s="194" t="s">
        <v>606</v>
      </c>
      <c r="B1378" s="195">
        <v>18</v>
      </c>
      <c r="C1378" s="195">
        <v>0</v>
      </c>
      <c r="D1378" s="196" t="s">
        <v>282</v>
      </c>
      <c r="E1378" s="196" t="s">
        <v>324</v>
      </c>
      <c r="F1378" s="195" t="s">
        <v>408</v>
      </c>
      <c r="G1378" s="195" t="s">
        <v>688</v>
      </c>
    </row>
    <row r="1379" spans="1:7">
      <c r="A1379" s="194" t="s">
        <v>606</v>
      </c>
      <c r="B1379" s="195">
        <v>-18</v>
      </c>
      <c r="C1379" s="195">
        <v>0</v>
      </c>
      <c r="D1379" s="196" t="s">
        <v>282</v>
      </c>
      <c r="E1379" s="196" t="s">
        <v>324</v>
      </c>
      <c r="F1379" s="195" t="s">
        <v>393</v>
      </c>
      <c r="G1379" s="195" t="s">
        <v>688</v>
      </c>
    </row>
    <row r="1380" spans="1:7">
      <c r="A1380" s="194" t="s">
        <v>143</v>
      </c>
      <c r="B1380" s="195">
        <v>511</v>
      </c>
      <c r="C1380" s="195">
        <v>0</v>
      </c>
      <c r="D1380" s="196" t="s">
        <v>282</v>
      </c>
      <c r="E1380" s="196" t="s">
        <v>320</v>
      </c>
      <c r="F1380" s="195" t="s">
        <v>394</v>
      </c>
      <c r="G1380" s="195" t="s">
        <v>688</v>
      </c>
    </row>
    <row r="1381" spans="1:7">
      <c r="A1381" s="194" t="s">
        <v>143</v>
      </c>
      <c r="B1381" s="195">
        <v>-511</v>
      </c>
      <c r="C1381" s="195">
        <v>0</v>
      </c>
      <c r="D1381" s="196" t="s">
        <v>282</v>
      </c>
      <c r="E1381" s="196" t="s">
        <v>320</v>
      </c>
      <c r="F1381" s="195" t="s">
        <v>413</v>
      </c>
      <c r="G1381" s="195" t="s">
        <v>688</v>
      </c>
    </row>
    <row r="1382" spans="1:7" hidden="1">
      <c r="A1382" s="194" t="s">
        <v>608</v>
      </c>
      <c r="B1382" s="195">
        <v>-17823</v>
      </c>
      <c r="C1382" s="195">
        <v>0</v>
      </c>
      <c r="D1382" s="196" t="s">
        <v>440</v>
      </c>
      <c r="E1382" s="196" t="s">
        <v>609</v>
      </c>
      <c r="F1382" s="195" t="s">
        <v>394</v>
      </c>
      <c r="G1382" s="195" t="s">
        <v>688</v>
      </c>
    </row>
    <row r="1383" spans="1:7" hidden="1">
      <c r="A1383" s="194" t="s">
        <v>610</v>
      </c>
      <c r="B1383" s="195">
        <v>-3570</v>
      </c>
      <c r="C1383" s="195">
        <v>0</v>
      </c>
      <c r="D1383" s="196" t="s">
        <v>440</v>
      </c>
      <c r="E1383" s="196" t="s">
        <v>39</v>
      </c>
      <c r="F1383" s="195" t="s">
        <v>394</v>
      </c>
      <c r="G1383" s="195" t="s">
        <v>688</v>
      </c>
    </row>
    <row r="1384" spans="1:7" hidden="1">
      <c r="A1384" s="194" t="s">
        <v>610</v>
      </c>
      <c r="B1384" s="195">
        <v>-1570</v>
      </c>
      <c r="C1384" s="195">
        <v>0</v>
      </c>
      <c r="D1384" s="196" t="s">
        <v>440</v>
      </c>
      <c r="E1384" s="196" t="s">
        <v>39</v>
      </c>
      <c r="F1384" s="195" t="s">
        <v>407</v>
      </c>
      <c r="G1384" s="195" t="s">
        <v>688</v>
      </c>
    </row>
    <row r="1385" spans="1:7" hidden="1">
      <c r="A1385" s="194" t="s">
        <v>610</v>
      </c>
      <c r="B1385" s="195">
        <v>5140</v>
      </c>
      <c r="C1385" s="195">
        <v>0</v>
      </c>
      <c r="D1385" s="196" t="s">
        <v>440</v>
      </c>
      <c r="E1385" s="196" t="s">
        <v>39</v>
      </c>
      <c r="F1385" s="195" t="s">
        <v>441</v>
      </c>
      <c r="G1385" s="195" t="s">
        <v>688</v>
      </c>
    </row>
    <row r="1386" spans="1:7" hidden="1">
      <c r="A1386" s="194" t="s">
        <v>610</v>
      </c>
      <c r="B1386" s="195">
        <v>5140</v>
      </c>
      <c r="C1386" s="195">
        <v>0</v>
      </c>
      <c r="D1386" s="196" t="s">
        <v>437</v>
      </c>
      <c r="E1386" s="196" t="s">
        <v>39</v>
      </c>
      <c r="F1386" s="195" t="s">
        <v>394</v>
      </c>
      <c r="G1386" s="195" t="s">
        <v>688</v>
      </c>
    </row>
    <row r="1387" spans="1:7" hidden="1">
      <c r="A1387" s="194" t="s">
        <v>610</v>
      </c>
      <c r="B1387" s="195">
        <v>-5140</v>
      </c>
      <c r="C1387" s="195">
        <v>0</v>
      </c>
      <c r="D1387" s="196" t="s">
        <v>437</v>
      </c>
      <c r="E1387" s="196" t="s">
        <v>39</v>
      </c>
      <c r="F1387" s="195" t="s">
        <v>441</v>
      </c>
      <c r="G1387" s="195" t="s">
        <v>688</v>
      </c>
    </row>
    <row r="1388" spans="1:7" hidden="1">
      <c r="A1388" s="194" t="s">
        <v>3</v>
      </c>
      <c r="B1388" s="195">
        <v>-1105</v>
      </c>
      <c r="C1388" s="195">
        <v>0</v>
      </c>
      <c r="D1388" s="196" t="s">
        <v>440</v>
      </c>
      <c r="E1388" s="196" t="s">
        <v>320</v>
      </c>
      <c r="F1388" s="195" t="s">
        <v>394</v>
      </c>
      <c r="G1388" s="195" t="s">
        <v>688</v>
      </c>
    </row>
    <row r="1389" spans="1:7" hidden="1">
      <c r="A1389" s="194" t="s">
        <v>3</v>
      </c>
      <c r="B1389" s="195">
        <v>1105</v>
      </c>
      <c r="C1389" s="195">
        <v>0</v>
      </c>
      <c r="D1389" s="196" t="s">
        <v>440</v>
      </c>
      <c r="E1389" s="196" t="s">
        <v>320</v>
      </c>
      <c r="F1389" s="195" t="s">
        <v>441</v>
      </c>
      <c r="G1389" s="195" t="s">
        <v>688</v>
      </c>
    </row>
    <row r="1390" spans="1:7" hidden="1">
      <c r="A1390" s="194" t="s">
        <v>3</v>
      </c>
      <c r="B1390" s="195">
        <v>-295</v>
      </c>
      <c r="C1390" s="195">
        <v>0</v>
      </c>
      <c r="D1390" s="196" t="s">
        <v>437</v>
      </c>
      <c r="E1390" s="196" t="s">
        <v>320</v>
      </c>
      <c r="F1390" s="195" t="s">
        <v>394</v>
      </c>
      <c r="G1390" s="195" t="s">
        <v>688</v>
      </c>
    </row>
    <row r="1391" spans="1:7" hidden="1">
      <c r="A1391" s="194" t="s">
        <v>3</v>
      </c>
      <c r="B1391" s="195">
        <v>295</v>
      </c>
      <c r="C1391" s="195">
        <v>0</v>
      </c>
      <c r="D1391" s="196" t="s">
        <v>437</v>
      </c>
      <c r="E1391" s="196" t="s">
        <v>320</v>
      </c>
      <c r="F1391" s="195" t="s">
        <v>441</v>
      </c>
      <c r="G1391" s="195" t="s">
        <v>688</v>
      </c>
    </row>
    <row r="1392" spans="1:7">
      <c r="A1392" s="194" t="s">
        <v>3</v>
      </c>
      <c r="B1392" s="195">
        <v>-3943</v>
      </c>
      <c r="C1392" s="195">
        <v>0</v>
      </c>
      <c r="D1392" s="196" t="s">
        <v>282</v>
      </c>
      <c r="E1392" s="196" t="s">
        <v>320</v>
      </c>
      <c r="F1392" s="195" t="s">
        <v>394</v>
      </c>
      <c r="G1392" s="195" t="s">
        <v>688</v>
      </c>
    </row>
    <row r="1393" spans="1:7">
      <c r="A1393" s="194" t="s">
        <v>3</v>
      </c>
      <c r="B1393" s="195">
        <v>484</v>
      </c>
      <c r="C1393" s="195">
        <v>0</v>
      </c>
      <c r="D1393" s="196" t="s">
        <v>282</v>
      </c>
      <c r="E1393" s="196" t="s">
        <v>320</v>
      </c>
      <c r="F1393" s="195" t="s">
        <v>445</v>
      </c>
      <c r="G1393" s="195" t="s">
        <v>688</v>
      </c>
    </row>
    <row r="1394" spans="1:7">
      <c r="A1394" s="194" t="s">
        <v>3</v>
      </c>
      <c r="B1394" s="195">
        <v>5646</v>
      </c>
      <c r="C1394" s="195">
        <v>0</v>
      </c>
      <c r="D1394" s="196" t="s">
        <v>282</v>
      </c>
      <c r="E1394" s="196" t="s">
        <v>320</v>
      </c>
      <c r="F1394" s="195" t="s">
        <v>393</v>
      </c>
      <c r="G1394" s="195" t="s">
        <v>688</v>
      </c>
    </row>
    <row r="1395" spans="1:7">
      <c r="A1395" s="194" t="s">
        <v>3</v>
      </c>
      <c r="B1395" s="195">
        <v>-350</v>
      </c>
      <c r="C1395" s="195">
        <v>0</v>
      </c>
      <c r="D1395" s="196" t="s">
        <v>282</v>
      </c>
      <c r="E1395" s="196" t="s">
        <v>320</v>
      </c>
      <c r="F1395" s="195" t="s">
        <v>407</v>
      </c>
      <c r="G1395" s="195" t="s">
        <v>688</v>
      </c>
    </row>
    <row r="1396" spans="1:7">
      <c r="A1396" s="194" t="s">
        <v>3</v>
      </c>
      <c r="B1396" s="195">
        <v>-437</v>
      </c>
      <c r="C1396" s="195">
        <v>0</v>
      </c>
      <c r="D1396" s="196" t="s">
        <v>282</v>
      </c>
      <c r="E1396" s="196" t="s">
        <v>320</v>
      </c>
      <c r="F1396" s="195" t="s">
        <v>403</v>
      </c>
      <c r="G1396" s="195" t="s">
        <v>688</v>
      </c>
    </row>
    <row r="1397" spans="1:7">
      <c r="A1397" s="194" t="s">
        <v>3</v>
      </c>
      <c r="B1397" s="195">
        <v>-1400</v>
      </c>
      <c r="C1397" s="195">
        <v>0</v>
      </c>
      <c r="D1397" s="196" t="s">
        <v>282</v>
      </c>
      <c r="E1397" s="196" t="s">
        <v>320</v>
      </c>
      <c r="F1397" s="195" t="s">
        <v>441</v>
      </c>
      <c r="G1397" s="195" t="s">
        <v>688</v>
      </c>
    </row>
    <row r="1398" spans="1:7" hidden="1">
      <c r="A1398" s="194" t="s">
        <v>613</v>
      </c>
      <c r="B1398" s="195">
        <v>2</v>
      </c>
      <c r="C1398" s="195">
        <v>0</v>
      </c>
      <c r="D1398" s="196" t="s">
        <v>437</v>
      </c>
      <c r="E1398" s="196" t="s">
        <v>614</v>
      </c>
      <c r="F1398" s="195" t="s">
        <v>394</v>
      </c>
      <c r="G1398" s="195" t="s">
        <v>688</v>
      </c>
    </row>
    <row r="1399" spans="1:7" hidden="1">
      <c r="A1399" s="194" t="s">
        <v>613</v>
      </c>
      <c r="B1399" s="195">
        <v>1</v>
      </c>
      <c r="C1399" s="195">
        <v>0</v>
      </c>
      <c r="D1399" s="196" t="s">
        <v>437</v>
      </c>
      <c r="E1399" s="196" t="s">
        <v>614</v>
      </c>
      <c r="F1399" s="195" t="s">
        <v>409</v>
      </c>
      <c r="G1399" s="195" t="s">
        <v>688</v>
      </c>
    </row>
    <row r="1400" spans="1:7" hidden="1">
      <c r="A1400" s="194" t="s">
        <v>613</v>
      </c>
      <c r="B1400" s="195">
        <v>-3</v>
      </c>
      <c r="C1400" s="195">
        <v>0</v>
      </c>
      <c r="D1400" s="196" t="s">
        <v>437</v>
      </c>
      <c r="E1400" s="196" t="s">
        <v>614</v>
      </c>
      <c r="F1400" s="195" t="s">
        <v>396</v>
      </c>
      <c r="G1400" s="195" t="s">
        <v>688</v>
      </c>
    </row>
    <row r="1401" spans="1:7" hidden="1">
      <c r="A1401" s="194" t="s">
        <v>615</v>
      </c>
      <c r="B1401" s="195">
        <v>26</v>
      </c>
      <c r="C1401" s="195">
        <v>0</v>
      </c>
      <c r="D1401" s="196" t="s">
        <v>463</v>
      </c>
      <c r="E1401" s="196" t="s">
        <v>616</v>
      </c>
      <c r="F1401" s="195" t="s">
        <v>617</v>
      </c>
      <c r="G1401" s="195" t="s">
        <v>688</v>
      </c>
    </row>
    <row r="1402" spans="1:7" hidden="1">
      <c r="A1402" s="194" t="s">
        <v>620</v>
      </c>
      <c r="B1402" s="195">
        <v>-33</v>
      </c>
      <c r="C1402" s="195">
        <v>0</v>
      </c>
      <c r="D1402" s="196" t="s">
        <v>440</v>
      </c>
      <c r="E1402" s="196" t="s">
        <v>616</v>
      </c>
      <c r="F1402" s="195" t="s">
        <v>394</v>
      </c>
      <c r="G1402" s="195" t="s">
        <v>688</v>
      </c>
    </row>
    <row r="1403" spans="1:7" hidden="1">
      <c r="A1403" s="194" t="s">
        <v>620</v>
      </c>
      <c r="B1403" s="195">
        <v>33</v>
      </c>
      <c r="C1403" s="195">
        <v>0</v>
      </c>
      <c r="D1403" s="196" t="s">
        <v>440</v>
      </c>
      <c r="E1403" s="196" t="s">
        <v>616</v>
      </c>
      <c r="F1403" s="195" t="s">
        <v>617</v>
      </c>
      <c r="G1403" s="195" t="s">
        <v>688</v>
      </c>
    </row>
    <row r="1404" spans="1:7" hidden="1">
      <c r="A1404" s="194" t="s">
        <v>621</v>
      </c>
      <c r="B1404" s="195">
        <v>284607.35890242999</v>
      </c>
      <c r="C1404" s="195">
        <v>0</v>
      </c>
      <c r="D1404" s="196" t="s">
        <v>440</v>
      </c>
      <c r="E1404" s="196" t="s">
        <v>622</v>
      </c>
      <c r="F1404" s="195" t="s">
        <v>394</v>
      </c>
      <c r="G1404" s="195" t="s">
        <v>688</v>
      </c>
    </row>
    <row r="1405" spans="1:7" hidden="1">
      <c r="A1405" s="194" t="s">
        <v>621</v>
      </c>
      <c r="B1405" s="195">
        <v>23800</v>
      </c>
      <c r="C1405" s="195">
        <v>0</v>
      </c>
      <c r="D1405" s="196" t="s">
        <v>442</v>
      </c>
      <c r="E1405" s="196" t="s">
        <v>622</v>
      </c>
      <c r="F1405" s="195" t="s">
        <v>394</v>
      </c>
      <c r="G1405" s="195" t="s">
        <v>688</v>
      </c>
    </row>
    <row r="1406" spans="1:7" hidden="1">
      <c r="A1406" s="194" t="s">
        <v>392</v>
      </c>
      <c r="B1406" s="195">
        <v>194</v>
      </c>
      <c r="C1406" s="195">
        <v>0</v>
      </c>
      <c r="D1406" s="196" t="s">
        <v>283</v>
      </c>
      <c r="E1406" s="196" t="s">
        <v>517</v>
      </c>
      <c r="F1406" s="195" t="s">
        <v>394</v>
      </c>
      <c r="G1406" s="195" t="s">
        <v>688</v>
      </c>
    </row>
    <row r="1407" spans="1:7">
      <c r="A1407" s="194" t="s">
        <v>392</v>
      </c>
      <c r="B1407" s="195">
        <v>139</v>
      </c>
      <c r="C1407" s="195">
        <v>0</v>
      </c>
      <c r="D1407" s="196" t="s">
        <v>282</v>
      </c>
      <c r="E1407" s="196" t="s">
        <v>517</v>
      </c>
      <c r="F1407" s="195" t="s">
        <v>394</v>
      </c>
      <c r="G1407" s="195" t="s">
        <v>688</v>
      </c>
    </row>
    <row r="1408" spans="1:7">
      <c r="A1408" s="194" t="s">
        <v>392</v>
      </c>
      <c r="B1408" s="195">
        <v>54</v>
      </c>
      <c r="C1408" s="195">
        <v>0</v>
      </c>
      <c r="D1408" s="196" t="s">
        <v>282</v>
      </c>
      <c r="E1408" s="196" t="s">
        <v>517</v>
      </c>
      <c r="F1408" s="195" t="s">
        <v>393</v>
      </c>
      <c r="G1408" s="195" t="s">
        <v>688</v>
      </c>
    </row>
    <row r="1409" spans="1:7">
      <c r="A1409" s="194" t="s">
        <v>624</v>
      </c>
      <c r="B1409" s="195">
        <v>-340</v>
      </c>
      <c r="C1409" s="195">
        <v>0</v>
      </c>
      <c r="D1409" s="196" t="s">
        <v>282</v>
      </c>
      <c r="E1409" s="196" t="s">
        <v>317</v>
      </c>
      <c r="F1409" s="195" t="s">
        <v>394</v>
      </c>
      <c r="G1409" s="195" t="s">
        <v>688</v>
      </c>
    </row>
    <row r="1410" spans="1:7">
      <c r="A1410" s="194" t="s">
        <v>624</v>
      </c>
      <c r="B1410" s="195">
        <v>310</v>
      </c>
      <c r="C1410" s="195">
        <v>0</v>
      </c>
      <c r="D1410" s="196" t="s">
        <v>282</v>
      </c>
      <c r="E1410" s="196" t="s">
        <v>317</v>
      </c>
      <c r="F1410" s="195" t="s">
        <v>445</v>
      </c>
      <c r="G1410" s="195" t="s">
        <v>688</v>
      </c>
    </row>
    <row r="1411" spans="1:7">
      <c r="A1411" s="194" t="s">
        <v>624</v>
      </c>
      <c r="B1411" s="195">
        <v>30</v>
      </c>
      <c r="C1411" s="195">
        <v>0</v>
      </c>
      <c r="D1411" s="196" t="s">
        <v>282</v>
      </c>
      <c r="E1411" s="196" t="s">
        <v>317</v>
      </c>
      <c r="F1411" s="195" t="s">
        <v>393</v>
      </c>
      <c r="G1411" s="195" t="s">
        <v>688</v>
      </c>
    </row>
    <row r="1412" spans="1:7" hidden="1">
      <c r="A1412" s="194" t="s">
        <v>722</v>
      </c>
      <c r="B1412" s="195">
        <v>-224000</v>
      </c>
      <c r="C1412" s="195">
        <v>0</v>
      </c>
      <c r="D1412" s="196" t="s">
        <v>440</v>
      </c>
      <c r="E1412" s="196" t="s">
        <v>692</v>
      </c>
      <c r="F1412" s="195" t="s">
        <v>409</v>
      </c>
      <c r="G1412" s="195" t="s">
        <v>688</v>
      </c>
    </row>
    <row r="1413" spans="1:7" hidden="1">
      <c r="A1413" s="194" t="s">
        <v>723</v>
      </c>
      <c r="B1413" s="195">
        <v>-224000</v>
      </c>
      <c r="C1413" s="195">
        <v>0</v>
      </c>
      <c r="D1413" s="196" t="s">
        <v>440</v>
      </c>
      <c r="E1413" s="196" t="s">
        <v>692</v>
      </c>
      <c r="F1413" s="195" t="s">
        <v>409</v>
      </c>
      <c r="G1413" s="195" t="s">
        <v>688</v>
      </c>
    </row>
    <row r="1414" spans="1:7" hidden="1">
      <c r="A1414" s="194" t="s">
        <v>724</v>
      </c>
      <c r="B1414" s="195">
        <v>224000</v>
      </c>
      <c r="C1414" s="195">
        <v>0</v>
      </c>
      <c r="D1414" s="196" t="s">
        <v>440</v>
      </c>
      <c r="E1414" s="196" t="s">
        <v>692</v>
      </c>
      <c r="F1414" s="195" t="s">
        <v>409</v>
      </c>
      <c r="G1414" s="195" t="s">
        <v>688</v>
      </c>
    </row>
    <row r="1415" spans="1:7" hidden="1">
      <c r="A1415" s="194" t="s">
        <v>725</v>
      </c>
      <c r="B1415" s="195">
        <v>-157000</v>
      </c>
      <c r="C1415" s="195">
        <v>0</v>
      </c>
      <c r="D1415" s="196" t="s">
        <v>440</v>
      </c>
      <c r="E1415" s="196" t="s">
        <v>692</v>
      </c>
      <c r="F1415" s="195" t="s">
        <v>409</v>
      </c>
      <c r="G1415" s="195" t="s">
        <v>688</v>
      </c>
    </row>
    <row r="1416" spans="1:7" hidden="1">
      <c r="A1416" s="194" t="s">
        <v>725</v>
      </c>
      <c r="B1416" s="195">
        <v>-56000</v>
      </c>
      <c r="C1416" s="195">
        <v>0</v>
      </c>
      <c r="D1416" s="196" t="s">
        <v>442</v>
      </c>
      <c r="E1416" s="196" t="s">
        <v>692</v>
      </c>
      <c r="F1416" s="195" t="s">
        <v>409</v>
      </c>
      <c r="G1416" s="195" t="s">
        <v>688</v>
      </c>
    </row>
    <row r="1417" spans="1:7" hidden="1">
      <c r="A1417" s="194" t="s">
        <v>726</v>
      </c>
      <c r="B1417" s="195">
        <v>-157000</v>
      </c>
      <c r="C1417" s="195">
        <v>0</v>
      </c>
      <c r="D1417" s="196" t="s">
        <v>440</v>
      </c>
      <c r="E1417" s="196" t="s">
        <v>692</v>
      </c>
      <c r="F1417" s="195" t="s">
        <v>409</v>
      </c>
      <c r="G1417" s="195" t="s">
        <v>688</v>
      </c>
    </row>
    <row r="1418" spans="1:7" hidden="1">
      <c r="A1418" s="194" t="s">
        <v>726</v>
      </c>
      <c r="B1418" s="195">
        <v>-56000</v>
      </c>
      <c r="C1418" s="195">
        <v>0</v>
      </c>
      <c r="D1418" s="196" t="s">
        <v>442</v>
      </c>
      <c r="E1418" s="196" t="s">
        <v>692</v>
      </c>
      <c r="F1418" s="195" t="s">
        <v>409</v>
      </c>
      <c r="G1418" s="195" t="s">
        <v>688</v>
      </c>
    </row>
    <row r="1419" spans="1:7" hidden="1">
      <c r="A1419" s="194" t="s">
        <v>727</v>
      </c>
      <c r="B1419" s="195">
        <v>157000</v>
      </c>
      <c r="C1419" s="195">
        <v>0</v>
      </c>
      <c r="D1419" s="196" t="s">
        <v>440</v>
      </c>
      <c r="E1419" s="196" t="s">
        <v>692</v>
      </c>
      <c r="F1419" s="195" t="s">
        <v>409</v>
      </c>
      <c r="G1419" s="195" t="s">
        <v>688</v>
      </c>
    </row>
    <row r="1420" spans="1:7" hidden="1">
      <c r="A1420" s="194" t="s">
        <v>727</v>
      </c>
      <c r="B1420" s="195">
        <v>56000</v>
      </c>
      <c r="C1420" s="195">
        <v>0</v>
      </c>
      <c r="D1420" s="196" t="s">
        <v>442</v>
      </c>
      <c r="E1420" s="196" t="s">
        <v>692</v>
      </c>
      <c r="F1420" s="195" t="s">
        <v>409</v>
      </c>
      <c r="G1420" s="195" t="s">
        <v>688</v>
      </c>
    </row>
    <row r="1421" spans="1:7" hidden="1">
      <c r="A1421" s="194" t="s">
        <v>136</v>
      </c>
      <c r="B1421" s="195">
        <v>920</v>
      </c>
      <c r="C1421" s="195">
        <v>0</v>
      </c>
      <c r="D1421" s="196" t="s">
        <v>283</v>
      </c>
      <c r="E1421" s="196" t="s">
        <v>320</v>
      </c>
      <c r="F1421" s="195" t="s">
        <v>394</v>
      </c>
      <c r="G1421" s="195" t="s">
        <v>688</v>
      </c>
    </row>
    <row r="1422" spans="1:7" hidden="1">
      <c r="A1422" s="194" t="s">
        <v>136</v>
      </c>
      <c r="B1422" s="195">
        <v>-920</v>
      </c>
      <c r="C1422" s="195">
        <v>0</v>
      </c>
      <c r="D1422" s="196" t="s">
        <v>283</v>
      </c>
      <c r="E1422" s="196" t="s">
        <v>320</v>
      </c>
      <c r="F1422" s="195" t="s">
        <v>441</v>
      </c>
      <c r="G1422" s="195" t="s">
        <v>688</v>
      </c>
    </row>
    <row r="1423" spans="1:7">
      <c r="A1423" s="194" t="s">
        <v>136</v>
      </c>
      <c r="B1423" s="195">
        <v>-2832</v>
      </c>
      <c r="C1423" s="195">
        <v>0</v>
      </c>
      <c r="D1423" s="196" t="s">
        <v>282</v>
      </c>
      <c r="E1423" s="196" t="s">
        <v>320</v>
      </c>
      <c r="F1423" s="195" t="s">
        <v>394</v>
      </c>
      <c r="G1423" s="195" t="s">
        <v>688</v>
      </c>
    </row>
    <row r="1424" spans="1:7">
      <c r="A1424" s="194" t="s">
        <v>136</v>
      </c>
      <c r="B1424" s="195">
        <v>1403</v>
      </c>
      <c r="C1424" s="195">
        <v>0</v>
      </c>
      <c r="D1424" s="196" t="s">
        <v>282</v>
      </c>
      <c r="E1424" s="196" t="s">
        <v>320</v>
      </c>
      <c r="F1424" s="195" t="s">
        <v>393</v>
      </c>
      <c r="G1424" s="195" t="s">
        <v>688</v>
      </c>
    </row>
    <row r="1425" spans="1:7">
      <c r="A1425" s="194" t="s">
        <v>136</v>
      </c>
      <c r="B1425" s="195">
        <v>509</v>
      </c>
      <c r="C1425" s="195">
        <v>0</v>
      </c>
      <c r="D1425" s="196" t="s">
        <v>282</v>
      </c>
      <c r="E1425" s="196" t="s">
        <v>320</v>
      </c>
      <c r="F1425" s="195" t="s">
        <v>403</v>
      </c>
      <c r="G1425" s="195" t="s">
        <v>688</v>
      </c>
    </row>
    <row r="1426" spans="1:7">
      <c r="A1426" s="194" t="s">
        <v>136</v>
      </c>
      <c r="B1426" s="195">
        <v>920</v>
      </c>
      <c r="C1426" s="195">
        <v>0</v>
      </c>
      <c r="D1426" s="196" t="s">
        <v>282</v>
      </c>
      <c r="E1426" s="196" t="s">
        <v>320</v>
      </c>
      <c r="F1426" s="195" t="s">
        <v>441</v>
      </c>
      <c r="G1426" s="195" t="s">
        <v>688</v>
      </c>
    </row>
    <row r="1427" spans="1:7" hidden="1">
      <c r="A1427" s="194" t="s">
        <v>625</v>
      </c>
      <c r="B1427" s="195">
        <v>55</v>
      </c>
      <c r="C1427" s="195">
        <v>0</v>
      </c>
      <c r="D1427" s="196" t="s">
        <v>283</v>
      </c>
      <c r="E1427" s="196" t="s">
        <v>324</v>
      </c>
      <c r="F1427" s="195" t="s">
        <v>394</v>
      </c>
      <c r="G1427" s="195" t="s">
        <v>688</v>
      </c>
    </row>
    <row r="1428" spans="1:7">
      <c r="A1428" s="194" t="s">
        <v>625</v>
      </c>
      <c r="B1428" s="195">
        <v>-55</v>
      </c>
      <c r="C1428" s="195">
        <v>0</v>
      </c>
      <c r="D1428" s="196" t="s">
        <v>282</v>
      </c>
      <c r="E1428" s="196" t="s">
        <v>324</v>
      </c>
      <c r="F1428" s="195" t="s">
        <v>394</v>
      </c>
      <c r="G1428" s="195" t="s">
        <v>688</v>
      </c>
    </row>
    <row r="1429" spans="1:7">
      <c r="A1429" s="194" t="s">
        <v>625</v>
      </c>
      <c r="B1429" s="195">
        <v>110</v>
      </c>
      <c r="C1429" s="195">
        <v>0</v>
      </c>
      <c r="D1429" s="196" t="s">
        <v>282</v>
      </c>
      <c r="E1429" s="196" t="s">
        <v>324</v>
      </c>
      <c r="F1429" s="195" t="s">
        <v>408</v>
      </c>
      <c r="G1429" s="195" t="s">
        <v>688</v>
      </c>
    </row>
    <row r="1430" spans="1:7" hidden="1">
      <c r="A1430" s="194" t="s">
        <v>626</v>
      </c>
      <c r="B1430" s="195">
        <v>-31</v>
      </c>
      <c r="C1430" s="195">
        <v>0</v>
      </c>
      <c r="D1430" s="196" t="s">
        <v>283</v>
      </c>
      <c r="E1430" s="196" t="s">
        <v>324</v>
      </c>
      <c r="F1430" s="195" t="s">
        <v>394</v>
      </c>
      <c r="G1430" s="195" t="s">
        <v>688</v>
      </c>
    </row>
    <row r="1431" spans="1:7">
      <c r="A1431" s="194" t="s">
        <v>626</v>
      </c>
      <c r="B1431" s="195">
        <v>31</v>
      </c>
      <c r="C1431" s="195">
        <v>0</v>
      </c>
      <c r="D1431" s="196" t="s">
        <v>282</v>
      </c>
      <c r="E1431" s="196" t="s">
        <v>324</v>
      </c>
      <c r="F1431" s="195" t="s">
        <v>394</v>
      </c>
      <c r="G1431" s="195" t="s">
        <v>688</v>
      </c>
    </row>
    <row r="1432" spans="1:7">
      <c r="A1432" s="194" t="s">
        <v>626</v>
      </c>
      <c r="B1432" s="195">
        <v>-62</v>
      </c>
      <c r="C1432" s="195">
        <v>0</v>
      </c>
      <c r="D1432" s="196" t="s">
        <v>282</v>
      </c>
      <c r="E1432" s="196" t="s">
        <v>324</v>
      </c>
      <c r="F1432" s="195" t="s">
        <v>408</v>
      </c>
      <c r="G1432" s="195" t="s">
        <v>688</v>
      </c>
    </row>
    <row r="1433" spans="1:7">
      <c r="A1433" s="194" t="s">
        <v>627</v>
      </c>
      <c r="B1433" s="195">
        <v>-545</v>
      </c>
      <c r="C1433" s="195">
        <v>0</v>
      </c>
      <c r="D1433" s="196" t="s">
        <v>282</v>
      </c>
      <c r="E1433" s="196" t="s">
        <v>317</v>
      </c>
      <c r="F1433" s="195" t="s">
        <v>394</v>
      </c>
      <c r="G1433" s="195" t="s">
        <v>688</v>
      </c>
    </row>
    <row r="1434" spans="1:7">
      <c r="A1434" s="194" t="s">
        <v>627</v>
      </c>
      <c r="B1434" s="195">
        <v>545</v>
      </c>
      <c r="C1434" s="195">
        <v>0</v>
      </c>
      <c r="D1434" s="196" t="s">
        <v>282</v>
      </c>
      <c r="E1434" s="196" t="s">
        <v>317</v>
      </c>
      <c r="F1434" s="195" t="s">
        <v>393</v>
      </c>
      <c r="G1434" s="195" t="s">
        <v>688</v>
      </c>
    </row>
    <row r="1435" spans="1:7" hidden="1">
      <c r="A1435" s="194" t="s">
        <v>628</v>
      </c>
      <c r="B1435" s="195">
        <v>74</v>
      </c>
      <c r="C1435" s="195">
        <v>0</v>
      </c>
      <c r="D1435" s="196" t="s">
        <v>283</v>
      </c>
      <c r="E1435" s="196" t="s">
        <v>317</v>
      </c>
      <c r="F1435" s="195" t="s">
        <v>394</v>
      </c>
      <c r="G1435" s="195" t="s">
        <v>688</v>
      </c>
    </row>
    <row r="1436" spans="1:7" hidden="1">
      <c r="A1436" s="194" t="s">
        <v>628</v>
      </c>
      <c r="B1436" s="195">
        <v>81</v>
      </c>
      <c r="C1436" s="195">
        <v>0</v>
      </c>
      <c r="D1436" s="196" t="s">
        <v>283</v>
      </c>
      <c r="E1436" s="196" t="s">
        <v>317</v>
      </c>
      <c r="F1436" s="195" t="s">
        <v>413</v>
      </c>
      <c r="G1436" s="195" t="s">
        <v>688</v>
      </c>
    </row>
    <row r="1437" spans="1:7" hidden="1">
      <c r="A1437" s="194" t="s">
        <v>628</v>
      </c>
      <c r="B1437" s="195">
        <v>-155</v>
      </c>
      <c r="C1437" s="195">
        <v>0</v>
      </c>
      <c r="D1437" s="196" t="s">
        <v>283</v>
      </c>
      <c r="E1437" s="196" t="s">
        <v>317</v>
      </c>
      <c r="F1437" s="195" t="s">
        <v>441</v>
      </c>
      <c r="G1437" s="195" t="s">
        <v>688</v>
      </c>
    </row>
    <row r="1438" spans="1:7">
      <c r="A1438" s="194" t="s">
        <v>628</v>
      </c>
      <c r="B1438" s="195">
        <v>-236</v>
      </c>
      <c r="C1438" s="195">
        <v>0</v>
      </c>
      <c r="D1438" s="196" t="s">
        <v>282</v>
      </c>
      <c r="E1438" s="196" t="s">
        <v>317</v>
      </c>
      <c r="F1438" s="195" t="s">
        <v>394</v>
      </c>
      <c r="G1438" s="195" t="s">
        <v>688</v>
      </c>
    </row>
    <row r="1439" spans="1:7">
      <c r="A1439" s="194" t="s">
        <v>628</v>
      </c>
      <c r="B1439" s="195">
        <v>81</v>
      </c>
      <c r="C1439" s="195">
        <v>0</v>
      </c>
      <c r="D1439" s="196" t="s">
        <v>282</v>
      </c>
      <c r="E1439" s="196" t="s">
        <v>317</v>
      </c>
      <c r="F1439" s="195" t="s">
        <v>413</v>
      </c>
      <c r="G1439" s="195" t="s">
        <v>688</v>
      </c>
    </row>
    <row r="1440" spans="1:7">
      <c r="A1440" s="194" t="s">
        <v>628</v>
      </c>
      <c r="B1440" s="195">
        <v>155</v>
      </c>
      <c r="C1440" s="195">
        <v>0</v>
      </c>
      <c r="D1440" s="196" t="s">
        <v>282</v>
      </c>
      <c r="E1440" s="196" t="s">
        <v>317</v>
      </c>
      <c r="F1440" s="195" t="s">
        <v>441</v>
      </c>
      <c r="G1440" s="195" t="s">
        <v>688</v>
      </c>
    </row>
    <row r="1441" spans="1:7" hidden="1">
      <c r="A1441" s="194" t="s">
        <v>629</v>
      </c>
      <c r="B1441" s="195">
        <v>26</v>
      </c>
      <c r="C1441" s="195">
        <v>0</v>
      </c>
      <c r="D1441" s="196" t="s">
        <v>283</v>
      </c>
      <c r="E1441" s="196" t="s">
        <v>630</v>
      </c>
      <c r="F1441" s="195" t="s">
        <v>396</v>
      </c>
      <c r="G1441" s="195" t="s">
        <v>688</v>
      </c>
    </row>
    <row r="1442" spans="1:7" hidden="1">
      <c r="A1442" s="194" t="s">
        <v>629</v>
      </c>
      <c r="B1442" s="195">
        <v>193</v>
      </c>
      <c r="C1442" s="195">
        <v>0</v>
      </c>
      <c r="D1442" s="196" t="s">
        <v>437</v>
      </c>
      <c r="E1442" s="196" t="s">
        <v>630</v>
      </c>
      <c r="F1442" s="195" t="s">
        <v>396</v>
      </c>
      <c r="G1442" s="195" t="s">
        <v>688</v>
      </c>
    </row>
    <row r="1443" spans="1:7">
      <c r="A1443" s="194" t="s">
        <v>629</v>
      </c>
      <c r="B1443" s="195">
        <v>26</v>
      </c>
      <c r="C1443" s="195">
        <v>0</v>
      </c>
      <c r="D1443" s="196" t="s">
        <v>282</v>
      </c>
      <c r="E1443" s="196" t="s">
        <v>630</v>
      </c>
      <c r="F1443" s="195" t="s">
        <v>396</v>
      </c>
      <c r="G1443" s="195" t="s">
        <v>688</v>
      </c>
    </row>
    <row r="1444" spans="1:7" hidden="1">
      <c r="A1444" s="194" t="s">
        <v>0</v>
      </c>
      <c r="B1444" s="195">
        <v>311</v>
      </c>
      <c r="C1444" s="195">
        <v>0</v>
      </c>
      <c r="D1444" s="196" t="s">
        <v>283</v>
      </c>
      <c r="E1444" s="196" t="s">
        <v>320</v>
      </c>
      <c r="F1444" s="195" t="s">
        <v>394</v>
      </c>
      <c r="G1444" s="195" t="s">
        <v>688</v>
      </c>
    </row>
    <row r="1445" spans="1:7">
      <c r="A1445" s="194" t="s">
        <v>0</v>
      </c>
      <c r="B1445" s="195">
        <v>24</v>
      </c>
      <c r="C1445" s="195">
        <v>0</v>
      </c>
      <c r="D1445" s="196" t="s">
        <v>282</v>
      </c>
      <c r="E1445" s="196" t="s">
        <v>320</v>
      </c>
      <c r="F1445" s="195" t="s">
        <v>394</v>
      </c>
      <c r="G1445" s="195" t="s">
        <v>688</v>
      </c>
    </row>
    <row r="1446" spans="1:7">
      <c r="A1446" s="194" t="s">
        <v>0</v>
      </c>
      <c r="B1446" s="195">
        <v>287</v>
      </c>
      <c r="C1446" s="195">
        <v>0</v>
      </c>
      <c r="D1446" s="196" t="s">
        <v>282</v>
      </c>
      <c r="E1446" s="196" t="s">
        <v>320</v>
      </c>
      <c r="F1446" s="195" t="s">
        <v>393</v>
      </c>
      <c r="G1446" s="195" t="s">
        <v>688</v>
      </c>
    </row>
    <row r="1447" spans="1:7" hidden="1">
      <c r="A1447" s="194" t="s">
        <v>0</v>
      </c>
      <c r="B1447" s="195">
        <v>15</v>
      </c>
      <c r="C1447" s="195">
        <v>0</v>
      </c>
      <c r="D1447" s="196" t="s">
        <v>442</v>
      </c>
      <c r="E1447" s="196" t="s">
        <v>320</v>
      </c>
      <c r="F1447" s="195" t="s">
        <v>394</v>
      </c>
      <c r="G1447" s="195" t="s">
        <v>688</v>
      </c>
    </row>
    <row r="1448" spans="1:7" hidden="1">
      <c r="A1448" s="194" t="s">
        <v>0</v>
      </c>
      <c r="B1448" s="195">
        <v>-359</v>
      </c>
      <c r="C1448" s="195">
        <v>0</v>
      </c>
      <c r="D1448" s="196" t="s">
        <v>474</v>
      </c>
      <c r="E1448" s="196" t="s">
        <v>320</v>
      </c>
      <c r="F1448" s="195" t="s">
        <v>394</v>
      </c>
      <c r="G1448" s="195" t="s">
        <v>688</v>
      </c>
    </row>
    <row r="1449" spans="1:7" hidden="1">
      <c r="A1449" s="194" t="s">
        <v>0</v>
      </c>
      <c r="B1449" s="195">
        <v>359</v>
      </c>
      <c r="C1449" s="195">
        <v>0</v>
      </c>
      <c r="D1449" s="196" t="s">
        <v>474</v>
      </c>
      <c r="E1449" s="196" t="s">
        <v>320</v>
      </c>
      <c r="F1449" s="195" t="s">
        <v>402</v>
      </c>
      <c r="G1449" s="195" t="s">
        <v>688</v>
      </c>
    </row>
    <row r="1450" spans="1:7" hidden="1">
      <c r="A1450" s="194" t="s">
        <v>631</v>
      </c>
      <c r="B1450" s="195">
        <v>-4</v>
      </c>
      <c r="C1450" s="195">
        <v>0</v>
      </c>
      <c r="D1450" s="196" t="s">
        <v>283</v>
      </c>
      <c r="E1450" s="196" t="s">
        <v>324</v>
      </c>
      <c r="F1450" s="195" t="s">
        <v>394</v>
      </c>
      <c r="G1450" s="195" t="s">
        <v>688</v>
      </c>
    </row>
    <row r="1451" spans="1:7">
      <c r="A1451" s="194" t="s">
        <v>631</v>
      </c>
      <c r="B1451" s="195">
        <v>4</v>
      </c>
      <c r="C1451" s="195">
        <v>0</v>
      </c>
      <c r="D1451" s="196" t="s">
        <v>282</v>
      </c>
      <c r="E1451" s="196" t="s">
        <v>324</v>
      </c>
      <c r="F1451" s="195" t="s">
        <v>394</v>
      </c>
      <c r="G1451" s="195" t="s">
        <v>688</v>
      </c>
    </row>
    <row r="1452" spans="1:7">
      <c r="A1452" s="194" t="s">
        <v>631</v>
      </c>
      <c r="B1452" s="195">
        <v>56</v>
      </c>
      <c r="C1452" s="195">
        <v>0</v>
      </c>
      <c r="D1452" s="196" t="s">
        <v>282</v>
      </c>
      <c r="E1452" s="196" t="s">
        <v>324</v>
      </c>
      <c r="F1452" s="195" t="s">
        <v>408</v>
      </c>
      <c r="G1452" s="195" t="s">
        <v>688</v>
      </c>
    </row>
    <row r="1453" spans="1:7">
      <c r="A1453" s="194" t="s">
        <v>631</v>
      </c>
      <c r="B1453" s="195">
        <v>-68</v>
      </c>
      <c r="C1453" s="195">
        <v>0</v>
      </c>
      <c r="D1453" s="196" t="s">
        <v>282</v>
      </c>
      <c r="E1453" s="196" t="s">
        <v>324</v>
      </c>
      <c r="F1453" s="195" t="s">
        <v>393</v>
      </c>
      <c r="G1453" s="195" t="s">
        <v>688</v>
      </c>
    </row>
    <row r="1454" spans="1:7" hidden="1">
      <c r="A1454" s="194" t="s">
        <v>632</v>
      </c>
      <c r="B1454" s="195">
        <v>-4</v>
      </c>
      <c r="C1454" s="195">
        <v>0</v>
      </c>
      <c r="D1454" s="196" t="s">
        <v>283</v>
      </c>
      <c r="E1454" s="196" t="s">
        <v>324</v>
      </c>
      <c r="F1454" s="195" t="s">
        <v>394</v>
      </c>
      <c r="G1454" s="195" t="s">
        <v>688</v>
      </c>
    </row>
    <row r="1455" spans="1:7">
      <c r="A1455" s="194" t="s">
        <v>632</v>
      </c>
      <c r="B1455" s="195">
        <v>4</v>
      </c>
      <c r="C1455" s="195">
        <v>0</v>
      </c>
      <c r="D1455" s="196" t="s">
        <v>282</v>
      </c>
      <c r="E1455" s="196" t="s">
        <v>324</v>
      </c>
      <c r="F1455" s="195" t="s">
        <v>394</v>
      </c>
      <c r="G1455" s="195" t="s">
        <v>688</v>
      </c>
    </row>
    <row r="1456" spans="1:7">
      <c r="A1456" s="194" t="s">
        <v>632</v>
      </c>
      <c r="B1456" s="195">
        <v>-37</v>
      </c>
      <c r="C1456" s="195">
        <v>0</v>
      </c>
      <c r="D1456" s="196" t="s">
        <v>282</v>
      </c>
      <c r="E1456" s="196" t="s">
        <v>324</v>
      </c>
      <c r="F1456" s="195" t="s">
        <v>408</v>
      </c>
      <c r="G1456" s="195" t="s">
        <v>688</v>
      </c>
    </row>
    <row r="1457" spans="1:7">
      <c r="A1457" s="194" t="s">
        <v>632</v>
      </c>
      <c r="B1457" s="195">
        <v>34</v>
      </c>
      <c r="C1457" s="195">
        <v>0</v>
      </c>
      <c r="D1457" s="196" t="s">
        <v>282</v>
      </c>
      <c r="E1457" s="196" t="s">
        <v>324</v>
      </c>
      <c r="F1457" s="195" t="s">
        <v>393</v>
      </c>
      <c r="G1457" s="195" t="s">
        <v>688</v>
      </c>
    </row>
    <row r="1458" spans="1:7" hidden="1">
      <c r="A1458" s="194" t="s">
        <v>633</v>
      </c>
      <c r="B1458" s="195">
        <v>4</v>
      </c>
      <c r="C1458" s="195">
        <v>0</v>
      </c>
      <c r="D1458" s="196" t="s">
        <v>283</v>
      </c>
      <c r="E1458" s="196" t="s">
        <v>324</v>
      </c>
      <c r="F1458" s="195" t="s">
        <v>394</v>
      </c>
      <c r="G1458" s="195" t="s">
        <v>688</v>
      </c>
    </row>
    <row r="1459" spans="1:7">
      <c r="A1459" s="194" t="s">
        <v>633</v>
      </c>
      <c r="B1459" s="195">
        <v>-4</v>
      </c>
      <c r="C1459" s="195">
        <v>0</v>
      </c>
      <c r="D1459" s="196" t="s">
        <v>282</v>
      </c>
      <c r="E1459" s="196" t="s">
        <v>324</v>
      </c>
      <c r="F1459" s="195" t="s">
        <v>394</v>
      </c>
      <c r="G1459" s="195" t="s">
        <v>688</v>
      </c>
    </row>
    <row r="1460" spans="1:7">
      <c r="A1460" s="194" t="s">
        <v>633</v>
      </c>
      <c r="B1460" s="195">
        <v>-55</v>
      </c>
      <c r="C1460" s="195">
        <v>0</v>
      </c>
      <c r="D1460" s="196" t="s">
        <v>282</v>
      </c>
      <c r="E1460" s="196" t="s">
        <v>324</v>
      </c>
      <c r="F1460" s="195" t="s">
        <v>408</v>
      </c>
      <c r="G1460" s="195" t="s">
        <v>688</v>
      </c>
    </row>
    <row r="1461" spans="1:7">
      <c r="A1461" s="194" t="s">
        <v>633</v>
      </c>
      <c r="B1461" s="195">
        <v>68</v>
      </c>
      <c r="C1461" s="195">
        <v>0</v>
      </c>
      <c r="D1461" s="196" t="s">
        <v>282</v>
      </c>
      <c r="E1461" s="196" t="s">
        <v>324</v>
      </c>
      <c r="F1461" s="195" t="s">
        <v>393</v>
      </c>
      <c r="G1461" s="195" t="s">
        <v>688</v>
      </c>
    </row>
    <row r="1462" spans="1:7" hidden="1">
      <c r="A1462" s="194" t="s">
        <v>634</v>
      </c>
      <c r="B1462" s="195">
        <v>-4600</v>
      </c>
      <c r="C1462" s="195">
        <v>0</v>
      </c>
      <c r="D1462" s="196" t="s">
        <v>440</v>
      </c>
      <c r="E1462" s="196" t="s">
        <v>439</v>
      </c>
      <c r="F1462" s="195" t="s">
        <v>394</v>
      </c>
      <c r="G1462" s="195" t="s">
        <v>688</v>
      </c>
    </row>
    <row r="1463" spans="1:7" hidden="1">
      <c r="A1463" s="194" t="s">
        <v>635</v>
      </c>
      <c r="B1463" s="195">
        <v>66344</v>
      </c>
      <c r="C1463" s="195">
        <v>0</v>
      </c>
      <c r="D1463" s="196" t="s">
        <v>440</v>
      </c>
      <c r="E1463" s="196" t="s">
        <v>317</v>
      </c>
      <c r="F1463" s="195" t="s">
        <v>394</v>
      </c>
      <c r="G1463" s="195" t="s">
        <v>688</v>
      </c>
    </row>
    <row r="1464" spans="1:7" hidden="1">
      <c r="A1464" s="194" t="s">
        <v>635</v>
      </c>
      <c r="B1464" s="195">
        <v>-3535</v>
      </c>
      <c r="C1464" s="195">
        <v>0</v>
      </c>
      <c r="D1464" s="196" t="s">
        <v>440</v>
      </c>
      <c r="E1464" s="196" t="s">
        <v>317</v>
      </c>
      <c r="F1464" s="195" t="s">
        <v>407</v>
      </c>
      <c r="G1464" s="195" t="s">
        <v>688</v>
      </c>
    </row>
    <row r="1465" spans="1:7" hidden="1">
      <c r="A1465" s="194" t="s">
        <v>635</v>
      </c>
      <c r="B1465" s="195">
        <v>18381</v>
      </c>
      <c r="C1465" s="195">
        <v>0</v>
      </c>
      <c r="D1465" s="196" t="s">
        <v>437</v>
      </c>
      <c r="E1465" s="196" t="s">
        <v>317</v>
      </c>
      <c r="F1465" s="195" t="s">
        <v>394</v>
      </c>
      <c r="G1465" s="195" t="s">
        <v>688</v>
      </c>
    </row>
    <row r="1466" spans="1:7" hidden="1">
      <c r="A1466" s="194" t="s">
        <v>635</v>
      </c>
      <c r="B1466" s="195">
        <v>-18381</v>
      </c>
      <c r="C1466" s="195">
        <v>0</v>
      </c>
      <c r="D1466" s="196" t="s">
        <v>437</v>
      </c>
      <c r="E1466" s="196" t="s">
        <v>317</v>
      </c>
      <c r="F1466" s="195" t="s">
        <v>407</v>
      </c>
      <c r="G1466" s="195" t="s">
        <v>688</v>
      </c>
    </row>
    <row r="1467" spans="1:7" hidden="1">
      <c r="A1467" s="194" t="s">
        <v>635</v>
      </c>
      <c r="B1467" s="195">
        <v>12764</v>
      </c>
      <c r="C1467" s="195">
        <v>0</v>
      </c>
      <c r="D1467" s="196" t="s">
        <v>442</v>
      </c>
      <c r="E1467" s="196" t="s">
        <v>317</v>
      </c>
      <c r="F1467" s="195" t="s">
        <v>394</v>
      </c>
      <c r="G1467" s="195" t="s">
        <v>688</v>
      </c>
    </row>
    <row r="1468" spans="1:7" hidden="1">
      <c r="A1468" s="194" t="s">
        <v>635</v>
      </c>
      <c r="B1468" s="195">
        <v>-1950</v>
      </c>
      <c r="C1468" s="195">
        <v>0</v>
      </c>
      <c r="D1468" s="196" t="s">
        <v>442</v>
      </c>
      <c r="E1468" s="196" t="s">
        <v>317</v>
      </c>
      <c r="F1468" s="195" t="s">
        <v>407</v>
      </c>
      <c r="G1468" s="195" t="s">
        <v>688</v>
      </c>
    </row>
    <row r="1469" spans="1:7" hidden="1">
      <c r="A1469" s="194" t="s">
        <v>635</v>
      </c>
      <c r="B1469" s="195">
        <v>-1949</v>
      </c>
      <c r="C1469" s="195">
        <v>0</v>
      </c>
      <c r="D1469" s="196" t="s">
        <v>442</v>
      </c>
      <c r="E1469" s="196" t="s">
        <v>317</v>
      </c>
      <c r="F1469" s="195" t="s">
        <v>441</v>
      </c>
      <c r="G1469" s="195" t="s">
        <v>688</v>
      </c>
    </row>
    <row r="1470" spans="1:7" hidden="1">
      <c r="A1470" s="194" t="s">
        <v>635</v>
      </c>
      <c r="B1470" s="195">
        <v>-1949</v>
      </c>
      <c r="C1470" s="195">
        <v>0</v>
      </c>
      <c r="D1470" s="196" t="s">
        <v>545</v>
      </c>
      <c r="E1470" s="196" t="s">
        <v>317</v>
      </c>
      <c r="F1470" s="195" t="s">
        <v>407</v>
      </c>
      <c r="G1470" s="195" t="s">
        <v>688</v>
      </c>
    </row>
    <row r="1471" spans="1:7" hidden="1">
      <c r="A1471" s="194" t="s">
        <v>635</v>
      </c>
      <c r="B1471" s="195">
        <v>1949</v>
      </c>
      <c r="C1471" s="195">
        <v>0</v>
      </c>
      <c r="D1471" s="196" t="s">
        <v>545</v>
      </c>
      <c r="E1471" s="196" t="s">
        <v>317</v>
      </c>
      <c r="F1471" s="195" t="s">
        <v>441</v>
      </c>
      <c r="G1471" s="195" t="s">
        <v>688</v>
      </c>
    </row>
    <row r="1472" spans="1:7" hidden="1">
      <c r="A1472" s="194" t="s">
        <v>635</v>
      </c>
      <c r="B1472" s="195">
        <v>11744</v>
      </c>
      <c r="C1472" s="195">
        <v>0</v>
      </c>
      <c r="D1472" s="196" t="s">
        <v>474</v>
      </c>
      <c r="E1472" s="196" t="s">
        <v>317</v>
      </c>
      <c r="F1472" s="195" t="s">
        <v>394</v>
      </c>
      <c r="G1472" s="195" t="s">
        <v>688</v>
      </c>
    </row>
    <row r="1473" spans="1:7" hidden="1">
      <c r="A1473" s="194" t="s">
        <v>356</v>
      </c>
      <c r="B1473" s="195">
        <v>329</v>
      </c>
      <c r="C1473" s="195">
        <v>0</v>
      </c>
      <c r="D1473" s="196" t="s">
        <v>283</v>
      </c>
      <c r="E1473" s="196" t="s">
        <v>317</v>
      </c>
      <c r="F1473" s="195" t="s">
        <v>394</v>
      </c>
      <c r="G1473" s="195" t="s">
        <v>688</v>
      </c>
    </row>
    <row r="1474" spans="1:7" hidden="1">
      <c r="A1474" s="194" t="s">
        <v>356</v>
      </c>
      <c r="B1474" s="195">
        <v>-329</v>
      </c>
      <c r="C1474" s="195">
        <v>0</v>
      </c>
      <c r="D1474" s="196" t="s">
        <v>283</v>
      </c>
      <c r="E1474" s="196" t="s">
        <v>317</v>
      </c>
      <c r="F1474" s="195" t="s">
        <v>441</v>
      </c>
      <c r="G1474" s="195" t="s">
        <v>688</v>
      </c>
    </row>
    <row r="1475" spans="1:7">
      <c r="A1475" s="194" t="s">
        <v>356</v>
      </c>
      <c r="B1475" s="195">
        <v>500</v>
      </c>
      <c r="C1475" s="195">
        <v>0</v>
      </c>
      <c r="D1475" s="196" t="s">
        <v>282</v>
      </c>
      <c r="E1475" s="196" t="s">
        <v>317</v>
      </c>
      <c r="F1475" s="195" t="s">
        <v>394</v>
      </c>
      <c r="G1475" s="195" t="s">
        <v>688</v>
      </c>
    </row>
    <row r="1476" spans="1:7">
      <c r="A1476" s="194" t="s">
        <v>356</v>
      </c>
      <c r="B1476" s="195">
        <v>-88</v>
      </c>
      <c r="C1476" s="195">
        <v>0</v>
      </c>
      <c r="D1476" s="196" t="s">
        <v>282</v>
      </c>
      <c r="E1476" s="196" t="s">
        <v>317</v>
      </c>
      <c r="F1476" s="195" t="s">
        <v>445</v>
      </c>
      <c r="G1476" s="195" t="s">
        <v>688</v>
      </c>
    </row>
    <row r="1477" spans="1:7">
      <c r="A1477" s="194" t="s">
        <v>356</v>
      </c>
      <c r="B1477" s="195">
        <v>-1577</v>
      </c>
      <c r="C1477" s="195">
        <v>0</v>
      </c>
      <c r="D1477" s="196" t="s">
        <v>282</v>
      </c>
      <c r="E1477" s="196" t="s">
        <v>317</v>
      </c>
      <c r="F1477" s="195" t="s">
        <v>393</v>
      </c>
      <c r="G1477" s="195" t="s">
        <v>688</v>
      </c>
    </row>
    <row r="1478" spans="1:7">
      <c r="A1478" s="194" t="s">
        <v>356</v>
      </c>
      <c r="B1478" s="195">
        <v>650</v>
      </c>
      <c r="C1478" s="195">
        <v>0</v>
      </c>
      <c r="D1478" s="196" t="s">
        <v>282</v>
      </c>
      <c r="E1478" s="196" t="s">
        <v>317</v>
      </c>
      <c r="F1478" s="195" t="s">
        <v>407</v>
      </c>
      <c r="G1478" s="195" t="s">
        <v>688</v>
      </c>
    </row>
    <row r="1479" spans="1:7">
      <c r="A1479" s="194" t="s">
        <v>356</v>
      </c>
      <c r="B1479" s="195">
        <v>186</v>
      </c>
      <c r="C1479" s="195">
        <v>0</v>
      </c>
      <c r="D1479" s="196" t="s">
        <v>282</v>
      </c>
      <c r="E1479" s="196" t="s">
        <v>317</v>
      </c>
      <c r="F1479" s="195" t="s">
        <v>413</v>
      </c>
      <c r="G1479" s="195" t="s">
        <v>688</v>
      </c>
    </row>
    <row r="1480" spans="1:7">
      <c r="A1480" s="194" t="s">
        <v>356</v>
      </c>
      <c r="B1480" s="195">
        <v>329</v>
      </c>
      <c r="C1480" s="195">
        <v>0</v>
      </c>
      <c r="D1480" s="196" t="s">
        <v>282</v>
      </c>
      <c r="E1480" s="196" t="s">
        <v>317</v>
      </c>
      <c r="F1480" s="195" t="s">
        <v>441</v>
      </c>
      <c r="G1480" s="195" t="s">
        <v>688</v>
      </c>
    </row>
    <row r="1481" spans="1:7" hidden="1">
      <c r="A1481" s="194" t="s">
        <v>728</v>
      </c>
      <c r="B1481" s="195">
        <v>-182500</v>
      </c>
      <c r="C1481" s="195">
        <v>0</v>
      </c>
      <c r="D1481" s="196" t="s">
        <v>440</v>
      </c>
      <c r="E1481" s="196" t="s">
        <v>692</v>
      </c>
      <c r="F1481" s="195" t="s">
        <v>409</v>
      </c>
      <c r="G1481" s="195" t="s">
        <v>688</v>
      </c>
    </row>
    <row r="1482" spans="1:7" hidden="1">
      <c r="A1482" s="194" t="s">
        <v>729</v>
      </c>
      <c r="B1482" s="195">
        <v>182500</v>
      </c>
      <c r="C1482" s="195">
        <v>0</v>
      </c>
      <c r="D1482" s="196" t="s">
        <v>440</v>
      </c>
      <c r="E1482" s="196" t="s">
        <v>692</v>
      </c>
      <c r="F1482" s="195" t="s">
        <v>409</v>
      </c>
      <c r="G1482" s="195" t="s">
        <v>688</v>
      </c>
    </row>
    <row r="1483" spans="1:7" hidden="1">
      <c r="A1483" s="194" t="s">
        <v>730</v>
      </c>
      <c r="B1483" s="195">
        <v>83400</v>
      </c>
      <c r="C1483" s="195">
        <v>0</v>
      </c>
      <c r="D1483" s="196" t="s">
        <v>440</v>
      </c>
      <c r="E1483" s="196" t="s">
        <v>638</v>
      </c>
      <c r="F1483" s="195" t="s">
        <v>652</v>
      </c>
      <c r="G1483" s="195" t="s">
        <v>688</v>
      </c>
    </row>
    <row r="1484" spans="1:7" hidden="1">
      <c r="A1484" s="194" t="s">
        <v>731</v>
      </c>
      <c r="B1484" s="195">
        <v>-186600</v>
      </c>
      <c r="C1484" s="195">
        <v>0</v>
      </c>
      <c r="D1484" s="196" t="s">
        <v>440</v>
      </c>
      <c r="E1484" s="196" t="s">
        <v>638</v>
      </c>
      <c r="F1484" s="195" t="s">
        <v>409</v>
      </c>
      <c r="G1484" s="195" t="s">
        <v>688</v>
      </c>
    </row>
    <row r="1485" spans="1:7" hidden="1">
      <c r="A1485" s="194" t="s">
        <v>732</v>
      </c>
      <c r="B1485" s="195">
        <v>145500</v>
      </c>
      <c r="C1485" s="195">
        <v>0</v>
      </c>
      <c r="D1485" s="196" t="s">
        <v>440</v>
      </c>
      <c r="E1485" s="196" t="s">
        <v>638</v>
      </c>
      <c r="F1485" s="195" t="s">
        <v>652</v>
      </c>
      <c r="G1485" s="195" t="s">
        <v>688</v>
      </c>
    </row>
    <row r="1486" spans="1:7" hidden="1">
      <c r="A1486" s="194" t="s">
        <v>733</v>
      </c>
      <c r="B1486" s="195">
        <v>12000</v>
      </c>
      <c r="C1486" s="195">
        <v>0</v>
      </c>
      <c r="D1486" s="196" t="s">
        <v>442</v>
      </c>
      <c r="E1486" s="196" t="s">
        <v>638</v>
      </c>
      <c r="F1486" s="195" t="s">
        <v>396</v>
      </c>
      <c r="G1486" s="195" t="s">
        <v>688</v>
      </c>
    </row>
    <row r="1487" spans="1:7" hidden="1">
      <c r="A1487" s="194" t="s">
        <v>734</v>
      </c>
      <c r="B1487" s="195">
        <v>126895</v>
      </c>
      <c r="C1487" s="195">
        <v>0</v>
      </c>
      <c r="D1487" s="196" t="s">
        <v>440</v>
      </c>
      <c r="E1487" s="196" t="s">
        <v>638</v>
      </c>
      <c r="F1487" s="195" t="s">
        <v>652</v>
      </c>
      <c r="G1487" s="195" t="s">
        <v>688</v>
      </c>
    </row>
    <row r="1488" spans="1:7" hidden="1">
      <c r="A1488" s="194" t="s">
        <v>735</v>
      </c>
      <c r="B1488" s="195">
        <v>82400</v>
      </c>
      <c r="C1488" s="195">
        <v>0</v>
      </c>
      <c r="D1488" s="196" t="s">
        <v>440</v>
      </c>
      <c r="E1488" s="196" t="s">
        <v>638</v>
      </c>
      <c r="F1488" s="195" t="s">
        <v>652</v>
      </c>
      <c r="G1488" s="195" t="s">
        <v>688</v>
      </c>
    </row>
    <row r="1489" spans="1:7" hidden="1">
      <c r="A1489" s="194" t="s">
        <v>736</v>
      </c>
      <c r="B1489" s="195">
        <v>44000</v>
      </c>
      <c r="C1489" s="195">
        <v>0</v>
      </c>
      <c r="D1489" s="196" t="s">
        <v>440</v>
      </c>
      <c r="E1489" s="196" t="s">
        <v>638</v>
      </c>
      <c r="F1489" s="195" t="s">
        <v>652</v>
      </c>
      <c r="G1489" s="195" t="s">
        <v>688</v>
      </c>
    </row>
    <row r="1490" spans="1:7" hidden="1">
      <c r="A1490" s="194" t="s">
        <v>737</v>
      </c>
      <c r="B1490" s="195">
        <v>15900</v>
      </c>
      <c r="C1490" s="195">
        <v>0</v>
      </c>
      <c r="D1490" s="196" t="s">
        <v>440</v>
      </c>
      <c r="E1490" s="196" t="s">
        <v>638</v>
      </c>
      <c r="F1490" s="195" t="s">
        <v>652</v>
      </c>
      <c r="G1490" s="195" t="s">
        <v>688</v>
      </c>
    </row>
    <row r="1491" spans="1:7" hidden="1">
      <c r="A1491" s="194" t="s">
        <v>738</v>
      </c>
      <c r="B1491" s="195">
        <v>4900</v>
      </c>
      <c r="C1491" s="195">
        <v>0</v>
      </c>
      <c r="D1491" s="196" t="s">
        <v>440</v>
      </c>
      <c r="E1491" s="196" t="s">
        <v>638</v>
      </c>
      <c r="F1491" s="195" t="s">
        <v>409</v>
      </c>
      <c r="G1491" s="195" t="s">
        <v>688</v>
      </c>
    </row>
    <row r="1492" spans="1:7" hidden="1">
      <c r="A1492" s="194" t="s">
        <v>739</v>
      </c>
      <c r="B1492" s="195">
        <v>9000</v>
      </c>
      <c r="C1492" s="195">
        <v>0</v>
      </c>
      <c r="D1492" s="196" t="s">
        <v>440</v>
      </c>
      <c r="E1492" s="196" t="s">
        <v>638</v>
      </c>
      <c r="F1492" s="195" t="s">
        <v>652</v>
      </c>
      <c r="G1492" s="195" t="s">
        <v>688</v>
      </c>
    </row>
    <row r="1493" spans="1:7" hidden="1">
      <c r="A1493" s="194" t="s">
        <v>740</v>
      </c>
      <c r="B1493" s="195">
        <v>38500</v>
      </c>
      <c r="C1493" s="195">
        <v>0</v>
      </c>
      <c r="D1493" s="196" t="s">
        <v>440</v>
      </c>
      <c r="E1493" s="196" t="s">
        <v>638</v>
      </c>
      <c r="F1493" s="195" t="s">
        <v>652</v>
      </c>
      <c r="G1493" s="195" t="s">
        <v>688</v>
      </c>
    </row>
    <row r="1494" spans="1:7" hidden="1">
      <c r="A1494" s="194" t="s">
        <v>741</v>
      </c>
      <c r="B1494" s="195">
        <v>15600</v>
      </c>
      <c r="C1494" s="195">
        <v>0</v>
      </c>
      <c r="D1494" s="196" t="s">
        <v>440</v>
      </c>
      <c r="E1494" s="196" t="s">
        <v>638</v>
      </c>
      <c r="F1494" s="195" t="s">
        <v>652</v>
      </c>
      <c r="G1494" s="195" t="s">
        <v>688</v>
      </c>
    </row>
    <row r="1495" spans="1:7" hidden="1">
      <c r="A1495" s="194" t="s">
        <v>742</v>
      </c>
      <c r="B1495" s="195">
        <v>3300</v>
      </c>
      <c r="C1495" s="195">
        <v>0</v>
      </c>
      <c r="D1495" s="196" t="s">
        <v>442</v>
      </c>
      <c r="E1495" s="196" t="s">
        <v>638</v>
      </c>
      <c r="F1495" s="195" t="s">
        <v>396</v>
      </c>
      <c r="G1495" s="195" t="s">
        <v>688</v>
      </c>
    </row>
    <row r="1496" spans="1:7" hidden="1">
      <c r="A1496" s="194" t="s">
        <v>743</v>
      </c>
      <c r="B1496" s="195">
        <v>8700</v>
      </c>
      <c r="C1496" s="195">
        <v>0</v>
      </c>
      <c r="D1496" s="196" t="s">
        <v>442</v>
      </c>
      <c r="E1496" s="196" t="s">
        <v>638</v>
      </c>
      <c r="F1496" s="195" t="s">
        <v>396</v>
      </c>
      <c r="G1496" s="195" t="s">
        <v>688</v>
      </c>
    </row>
    <row r="1497" spans="1:7" hidden="1">
      <c r="A1497" s="194" t="s">
        <v>744</v>
      </c>
      <c r="B1497" s="195">
        <v>15000</v>
      </c>
      <c r="C1497" s="195">
        <v>0</v>
      </c>
      <c r="D1497" s="196" t="s">
        <v>440</v>
      </c>
      <c r="E1497" s="196" t="s">
        <v>638</v>
      </c>
      <c r="F1497" s="195" t="s">
        <v>652</v>
      </c>
      <c r="G1497" s="195" t="s">
        <v>688</v>
      </c>
    </row>
    <row r="1498" spans="1:7" hidden="1">
      <c r="A1498" s="194" t="s">
        <v>745</v>
      </c>
      <c r="B1498" s="195">
        <v>15400</v>
      </c>
      <c r="C1498" s="195">
        <v>0</v>
      </c>
      <c r="D1498" s="196" t="s">
        <v>442</v>
      </c>
      <c r="E1498" s="196" t="s">
        <v>638</v>
      </c>
      <c r="F1498" s="195" t="s">
        <v>396</v>
      </c>
      <c r="G1498" s="195" t="s">
        <v>688</v>
      </c>
    </row>
    <row r="1499" spans="1:7" hidden="1">
      <c r="A1499" s="194" t="s">
        <v>746</v>
      </c>
      <c r="B1499" s="195">
        <v>400</v>
      </c>
      <c r="C1499" s="195">
        <v>0</v>
      </c>
      <c r="D1499" s="196" t="s">
        <v>440</v>
      </c>
      <c r="E1499" s="196" t="s">
        <v>638</v>
      </c>
      <c r="F1499" s="195" t="s">
        <v>652</v>
      </c>
      <c r="G1499" s="195" t="s">
        <v>688</v>
      </c>
    </row>
    <row r="1500" spans="1:7" hidden="1">
      <c r="A1500" s="194" t="s">
        <v>747</v>
      </c>
      <c r="B1500" s="195">
        <v>42400</v>
      </c>
      <c r="C1500" s="195">
        <v>0</v>
      </c>
      <c r="D1500" s="196" t="s">
        <v>440</v>
      </c>
      <c r="E1500" s="196" t="s">
        <v>638</v>
      </c>
      <c r="F1500" s="195" t="s">
        <v>652</v>
      </c>
      <c r="G1500" s="195" t="s">
        <v>688</v>
      </c>
    </row>
    <row r="1501" spans="1:7" hidden="1">
      <c r="A1501" s="194" t="s">
        <v>748</v>
      </c>
      <c r="B1501" s="195">
        <v>-78100</v>
      </c>
      <c r="C1501" s="195">
        <v>0</v>
      </c>
      <c r="D1501" s="196" t="s">
        <v>440</v>
      </c>
      <c r="E1501" s="196" t="s">
        <v>638</v>
      </c>
      <c r="F1501" s="195" t="s">
        <v>652</v>
      </c>
      <c r="G1501" s="195" t="s">
        <v>688</v>
      </c>
    </row>
    <row r="1502" spans="1:7" hidden="1">
      <c r="A1502" s="194" t="s">
        <v>749</v>
      </c>
      <c r="B1502" s="195">
        <v>9800</v>
      </c>
      <c r="C1502" s="195">
        <v>0</v>
      </c>
      <c r="D1502" s="196" t="s">
        <v>442</v>
      </c>
      <c r="E1502" s="196" t="s">
        <v>638</v>
      </c>
      <c r="F1502" s="195" t="s">
        <v>396</v>
      </c>
      <c r="G1502" s="195" t="s">
        <v>688</v>
      </c>
    </row>
    <row r="1503" spans="1:7" hidden="1">
      <c r="A1503" s="194" t="s">
        <v>750</v>
      </c>
      <c r="B1503" s="195">
        <v>1100</v>
      </c>
      <c r="C1503" s="195">
        <v>0</v>
      </c>
      <c r="D1503" s="196" t="s">
        <v>442</v>
      </c>
      <c r="E1503" s="196" t="s">
        <v>638</v>
      </c>
      <c r="F1503" s="195" t="s">
        <v>396</v>
      </c>
      <c r="G1503" s="195" t="s">
        <v>688</v>
      </c>
    </row>
    <row r="1504" spans="1:7" hidden="1">
      <c r="A1504" s="194" t="s">
        <v>751</v>
      </c>
      <c r="B1504" s="195">
        <v>7400</v>
      </c>
      <c r="C1504" s="195">
        <v>0</v>
      </c>
      <c r="D1504" s="196" t="s">
        <v>440</v>
      </c>
      <c r="E1504" s="196" t="s">
        <v>638</v>
      </c>
      <c r="F1504" s="195" t="s">
        <v>652</v>
      </c>
      <c r="G1504" s="195" t="s">
        <v>688</v>
      </c>
    </row>
    <row r="1505" spans="1:7" hidden="1">
      <c r="A1505" s="194" t="s">
        <v>752</v>
      </c>
      <c r="B1505" s="195">
        <v>9428</v>
      </c>
      <c r="C1505" s="195">
        <v>0</v>
      </c>
      <c r="D1505" s="196" t="s">
        <v>440</v>
      </c>
      <c r="E1505" s="196" t="s">
        <v>638</v>
      </c>
      <c r="F1505" s="195" t="s">
        <v>652</v>
      </c>
      <c r="G1505" s="195" t="s">
        <v>688</v>
      </c>
    </row>
    <row r="1506" spans="1:7" hidden="1">
      <c r="A1506" s="194" t="s">
        <v>753</v>
      </c>
      <c r="B1506" s="195">
        <v>7500</v>
      </c>
      <c r="C1506" s="195">
        <v>0</v>
      </c>
      <c r="D1506" s="196" t="s">
        <v>440</v>
      </c>
      <c r="E1506" s="196" t="s">
        <v>638</v>
      </c>
      <c r="F1506" s="195" t="s">
        <v>652</v>
      </c>
      <c r="G1506" s="195" t="s">
        <v>688</v>
      </c>
    </row>
    <row r="1507" spans="1:7" hidden="1">
      <c r="A1507" s="194" t="s">
        <v>754</v>
      </c>
      <c r="B1507" s="195">
        <v>4500</v>
      </c>
      <c r="C1507" s="195">
        <v>0</v>
      </c>
      <c r="D1507" s="196" t="s">
        <v>440</v>
      </c>
      <c r="E1507" s="196" t="s">
        <v>638</v>
      </c>
      <c r="F1507" s="195" t="s">
        <v>652</v>
      </c>
      <c r="G1507" s="195" t="s">
        <v>688</v>
      </c>
    </row>
    <row r="1508" spans="1:7" hidden="1">
      <c r="A1508" s="194" t="s">
        <v>755</v>
      </c>
      <c r="B1508" s="195">
        <v>6500</v>
      </c>
      <c r="C1508" s="195">
        <v>0</v>
      </c>
      <c r="D1508" s="196" t="s">
        <v>440</v>
      </c>
      <c r="E1508" s="196" t="s">
        <v>638</v>
      </c>
      <c r="F1508" s="195" t="s">
        <v>652</v>
      </c>
      <c r="G1508" s="195" t="s">
        <v>688</v>
      </c>
    </row>
    <row r="1509" spans="1:7" hidden="1">
      <c r="A1509" s="194" t="s">
        <v>756</v>
      </c>
      <c r="B1509" s="195">
        <v>6600</v>
      </c>
      <c r="C1509" s="195">
        <v>0</v>
      </c>
      <c r="D1509" s="196" t="s">
        <v>440</v>
      </c>
      <c r="E1509" s="196" t="s">
        <v>638</v>
      </c>
      <c r="F1509" s="195" t="s">
        <v>652</v>
      </c>
      <c r="G1509" s="195" t="s">
        <v>688</v>
      </c>
    </row>
    <row r="1510" spans="1:7" hidden="1">
      <c r="A1510" s="194" t="s">
        <v>757</v>
      </c>
      <c r="B1510" s="195">
        <v>11600</v>
      </c>
      <c r="C1510" s="195">
        <v>0</v>
      </c>
      <c r="D1510" s="196" t="s">
        <v>440</v>
      </c>
      <c r="E1510" s="196" t="s">
        <v>638</v>
      </c>
      <c r="F1510" s="195" t="s">
        <v>652</v>
      </c>
      <c r="G1510" s="195" t="s">
        <v>688</v>
      </c>
    </row>
    <row r="1511" spans="1:7" hidden="1">
      <c r="A1511" s="194" t="s">
        <v>758</v>
      </c>
      <c r="B1511" s="195">
        <v>4100</v>
      </c>
      <c r="C1511" s="195">
        <v>0</v>
      </c>
      <c r="D1511" s="196" t="s">
        <v>442</v>
      </c>
      <c r="E1511" s="196" t="s">
        <v>638</v>
      </c>
      <c r="F1511" s="195" t="s">
        <v>396</v>
      </c>
      <c r="G1511" s="195" t="s">
        <v>688</v>
      </c>
    </row>
    <row r="1512" spans="1:7" hidden="1">
      <c r="A1512" s="194" t="s">
        <v>759</v>
      </c>
      <c r="B1512" s="195">
        <v>2100</v>
      </c>
      <c r="C1512" s="195">
        <v>0</v>
      </c>
      <c r="D1512" s="196" t="s">
        <v>442</v>
      </c>
      <c r="E1512" s="196" t="s">
        <v>638</v>
      </c>
      <c r="F1512" s="195" t="s">
        <v>396</v>
      </c>
      <c r="G1512" s="195" t="s">
        <v>688</v>
      </c>
    </row>
    <row r="1513" spans="1:7" hidden="1">
      <c r="A1513" s="194" t="s">
        <v>760</v>
      </c>
      <c r="B1513" s="195">
        <v>3500</v>
      </c>
      <c r="C1513" s="195">
        <v>0</v>
      </c>
      <c r="D1513" s="196" t="s">
        <v>442</v>
      </c>
      <c r="E1513" s="196" t="s">
        <v>638</v>
      </c>
      <c r="F1513" s="195" t="s">
        <v>396</v>
      </c>
      <c r="G1513" s="195" t="s">
        <v>688</v>
      </c>
    </row>
    <row r="1514" spans="1:7" hidden="1">
      <c r="A1514" s="194" t="s">
        <v>761</v>
      </c>
      <c r="B1514" s="195">
        <v>-15900</v>
      </c>
      <c r="C1514" s="195">
        <v>0</v>
      </c>
      <c r="D1514" s="196" t="s">
        <v>442</v>
      </c>
      <c r="E1514" s="196" t="s">
        <v>638</v>
      </c>
      <c r="F1514" s="195" t="s">
        <v>396</v>
      </c>
      <c r="G1514" s="195" t="s">
        <v>688</v>
      </c>
    </row>
    <row r="1515" spans="1:7" hidden="1">
      <c r="A1515" s="194" t="s">
        <v>762</v>
      </c>
      <c r="B1515" s="195">
        <v>-88700</v>
      </c>
      <c r="C1515" s="195">
        <v>0</v>
      </c>
      <c r="D1515" s="196" t="s">
        <v>474</v>
      </c>
      <c r="E1515" s="196" t="s">
        <v>638</v>
      </c>
      <c r="F1515" s="195" t="s">
        <v>396</v>
      </c>
      <c r="G1515" s="195" t="s">
        <v>688</v>
      </c>
    </row>
    <row r="1516" spans="1:7" hidden="1">
      <c r="A1516" s="194" t="s">
        <v>763</v>
      </c>
      <c r="B1516" s="195">
        <v>-18900</v>
      </c>
      <c r="C1516" s="195">
        <v>0</v>
      </c>
      <c r="D1516" s="196" t="s">
        <v>440</v>
      </c>
      <c r="E1516" s="196" t="s">
        <v>638</v>
      </c>
      <c r="F1516" s="195" t="s">
        <v>652</v>
      </c>
      <c r="G1516" s="195" t="s">
        <v>688</v>
      </c>
    </row>
    <row r="1517" spans="1:7" hidden="1">
      <c r="A1517" s="194" t="s">
        <v>764</v>
      </c>
      <c r="B1517" s="195">
        <v>-27600</v>
      </c>
      <c r="C1517" s="195">
        <v>0</v>
      </c>
      <c r="D1517" s="196" t="s">
        <v>442</v>
      </c>
      <c r="E1517" s="196" t="s">
        <v>638</v>
      </c>
      <c r="F1517" s="195" t="s">
        <v>396</v>
      </c>
      <c r="G1517" s="195" t="s">
        <v>688</v>
      </c>
    </row>
    <row r="1518" spans="1:7" hidden="1">
      <c r="A1518" s="194" t="s">
        <v>765</v>
      </c>
      <c r="B1518" s="195">
        <v>51100</v>
      </c>
      <c r="C1518" s="195">
        <v>0</v>
      </c>
      <c r="D1518" s="196" t="s">
        <v>440</v>
      </c>
      <c r="E1518" s="196" t="s">
        <v>638</v>
      </c>
      <c r="F1518" s="195" t="s">
        <v>652</v>
      </c>
      <c r="G1518" s="195" t="s">
        <v>688</v>
      </c>
    </row>
    <row r="1519" spans="1:7" hidden="1">
      <c r="A1519" s="194" t="s">
        <v>766</v>
      </c>
      <c r="B1519" s="195">
        <v>30800</v>
      </c>
      <c r="C1519" s="195">
        <v>0</v>
      </c>
      <c r="D1519" s="196" t="s">
        <v>440</v>
      </c>
      <c r="E1519" s="196" t="s">
        <v>638</v>
      </c>
      <c r="F1519" s="195" t="s">
        <v>652</v>
      </c>
      <c r="G1519" s="195" t="s">
        <v>688</v>
      </c>
    </row>
    <row r="1520" spans="1:7" hidden="1">
      <c r="A1520" s="194" t="s">
        <v>767</v>
      </c>
      <c r="B1520" s="195">
        <v>-26900</v>
      </c>
      <c r="C1520" s="195">
        <v>0</v>
      </c>
      <c r="D1520" s="196" t="s">
        <v>440</v>
      </c>
      <c r="E1520" s="196" t="s">
        <v>638</v>
      </c>
      <c r="F1520" s="195" t="s">
        <v>652</v>
      </c>
      <c r="G1520" s="195" t="s">
        <v>688</v>
      </c>
    </row>
    <row r="1521" spans="1:7" hidden="1">
      <c r="A1521" s="194" t="s">
        <v>768</v>
      </c>
      <c r="B1521" s="195">
        <v>-4800</v>
      </c>
      <c r="C1521" s="195">
        <v>0</v>
      </c>
      <c r="D1521" s="196" t="s">
        <v>442</v>
      </c>
      <c r="E1521" s="196" t="s">
        <v>638</v>
      </c>
      <c r="F1521" s="195" t="s">
        <v>396</v>
      </c>
      <c r="G1521" s="195" t="s">
        <v>688</v>
      </c>
    </row>
    <row r="1522" spans="1:7" hidden="1">
      <c r="A1522" s="194" t="s">
        <v>769</v>
      </c>
      <c r="B1522" s="195">
        <v>8900</v>
      </c>
      <c r="C1522" s="195">
        <v>0</v>
      </c>
      <c r="D1522" s="196" t="s">
        <v>442</v>
      </c>
      <c r="E1522" s="196" t="s">
        <v>638</v>
      </c>
      <c r="F1522" s="195" t="s">
        <v>396</v>
      </c>
      <c r="G1522" s="195" t="s">
        <v>688</v>
      </c>
    </row>
    <row r="1523" spans="1:7" hidden="1">
      <c r="A1523" s="194" t="s">
        <v>770</v>
      </c>
      <c r="B1523" s="195">
        <v>47800</v>
      </c>
      <c r="C1523" s="195">
        <v>0</v>
      </c>
      <c r="D1523" s="196" t="s">
        <v>440</v>
      </c>
      <c r="E1523" s="196" t="s">
        <v>638</v>
      </c>
      <c r="F1523" s="195" t="s">
        <v>652</v>
      </c>
      <c r="G1523" s="195" t="s">
        <v>688</v>
      </c>
    </row>
    <row r="1524" spans="1:7" hidden="1">
      <c r="A1524" s="194" t="s">
        <v>771</v>
      </c>
      <c r="B1524" s="195">
        <v>47800</v>
      </c>
      <c r="C1524" s="195">
        <v>0</v>
      </c>
      <c r="D1524" s="196" t="s">
        <v>440</v>
      </c>
      <c r="E1524" s="196" t="s">
        <v>638</v>
      </c>
      <c r="F1524" s="195" t="s">
        <v>409</v>
      </c>
      <c r="G1524" s="195" t="s">
        <v>688</v>
      </c>
    </row>
    <row r="1525" spans="1:7" hidden="1">
      <c r="A1525" s="194" t="s">
        <v>772</v>
      </c>
      <c r="B1525" s="195">
        <v>84800</v>
      </c>
      <c r="C1525" s="195">
        <v>0</v>
      </c>
      <c r="D1525" s="196" t="s">
        <v>440</v>
      </c>
      <c r="E1525" s="196" t="s">
        <v>638</v>
      </c>
      <c r="F1525" s="195" t="s">
        <v>652</v>
      </c>
      <c r="G1525" s="195" t="s">
        <v>688</v>
      </c>
    </row>
    <row r="1526" spans="1:7" hidden="1">
      <c r="A1526" s="194" t="s">
        <v>773</v>
      </c>
      <c r="B1526" s="195">
        <v>95000</v>
      </c>
      <c r="C1526" s="195">
        <v>0</v>
      </c>
      <c r="D1526" s="196" t="s">
        <v>440</v>
      </c>
      <c r="E1526" s="196" t="s">
        <v>638</v>
      </c>
      <c r="F1526" s="195" t="s">
        <v>652</v>
      </c>
      <c r="G1526" s="195" t="s">
        <v>688</v>
      </c>
    </row>
    <row r="1527" spans="1:7" hidden="1">
      <c r="A1527" s="194" t="s">
        <v>774</v>
      </c>
      <c r="B1527" s="195">
        <v>39900</v>
      </c>
      <c r="C1527" s="195">
        <v>0</v>
      </c>
      <c r="D1527" s="196" t="s">
        <v>442</v>
      </c>
      <c r="E1527" s="196" t="s">
        <v>638</v>
      </c>
      <c r="F1527" s="195" t="s">
        <v>396</v>
      </c>
      <c r="G1527" s="195" t="s">
        <v>688</v>
      </c>
    </row>
    <row r="1528" spans="1:7" hidden="1">
      <c r="A1528" s="194" t="s">
        <v>775</v>
      </c>
      <c r="B1528" s="195">
        <v>67700</v>
      </c>
      <c r="C1528" s="195">
        <v>0</v>
      </c>
      <c r="D1528" s="196" t="s">
        <v>440</v>
      </c>
      <c r="E1528" s="196" t="s">
        <v>638</v>
      </c>
      <c r="F1528" s="195" t="s">
        <v>652</v>
      </c>
      <c r="G1528" s="195" t="s">
        <v>688</v>
      </c>
    </row>
    <row r="1529" spans="1:7" hidden="1">
      <c r="A1529" s="194" t="s">
        <v>776</v>
      </c>
      <c r="B1529" s="195">
        <v>155400</v>
      </c>
      <c r="C1529" s="195">
        <v>0</v>
      </c>
      <c r="D1529" s="196" t="s">
        <v>440</v>
      </c>
      <c r="E1529" s="196" t="s">
        <v>638</v>
      </c>
      <c r="F1529" s="195" t="s">
        <v>652</v>
      </c>
      <c r="G1529" s="195" t="s">
        <v>688</v>
      </c>
    </row>
    <row r="1530" spans="1:7" hidden="1">
      <c r="A1530" s="194" t="s">
        <v>777</v>
      </c>
      <c r="B1530" s="195">
        <v>64300</v>
      </c>
      <c r="C1530" s="195">
        <v>0</v>
      </c>
      <c r="D1530" s="196" t="s">
        <v>440</v>
      </c>
      <c r="E1530" s="196" t="s">
        <v>638</v>
      </c>
      <c r="F1530" s="195" t="s">
        <v>652</v>
      </c>
      <c r="G1530" s="195" t="s">
        <v>688</v>
      </c>
    </row>
    <row r="1531" spans="1:7" hidden="1">
      <c r="A1531" s="194" t="s">
        <v>778</v>
      </c>
      <c r="B1531" s="195">
        <v>89200</v>
      </c>
      <c r="C1531" s="195">
        <v>0</v>
      </c>
      <c r="D1531" s="196" t="s">
        <v>440</v>
      </c>
      <c r="E1531" s="196" t="s">
        <v>638</v>
      </c>
      <c r="F1531" s="195" t="s">
        <v>652</v>
      </c>
      <c r="G1531" s="195" t="s">
        <v>688</v>
      </c>
    </row>
    <row r="1532" spans="1:7" hidden="1">
      <c r="A1532" s="194" t="s">
        <v>779</v>
      </c>
      <c r="B1532" s="195">
        <v>37500</v>
      </c>
      <c r="C1532" s="195">
        <v>0</v>
      </c>
      <c r="D1532" s="196" t="s">
        <v>442</v>
      </c>
      <c r="E1532" s="196" t="s">
        <v>638</v>
      </c>
      <c r="F1532" s="195" t="s">
        <v>396</v>
      </c>
      <c r="G1532" s="195" t="s">
        <v>688</v>
      </c>
    </row>
    <row r="1533" spans="1:7" hidden="1">
      <c r="A1533" s="194" t="s">
        <v>780</v>
      </c>
      <c r="B1533" s="195">
        <v>22700</v>
      </c>
      <c r="C1533" s="195">
        <v>0</v>
      </c>
      <c r="D1533" s="196" t="s">
        <v>440</v>
      </c>
      <c r="E1533" s="196" t="s">
        <v>638</v>
      </c>
      <c r="F1533" s="195" t="s">
        <v>652</v>
      </c>
      <c r="G1533" s="195" t="s">
        <v>688</v>
      </c>
    </row>
    <row r="1534" spans="1:7" hidden="1">
      <c r="A1534" s="194" t="s">
        <v>781</v>
      </c>
      <c r="B1534" s="195">
        <v>3400</v>
      </c>
      <c r="C1534" s="195">
        <v>0</v>
      </c>
      <c r="D1534" s="196" t="s">
        <v>442</v>
      </c>
      <c r="E1534" s="196" t="s">
        <v>638</v>
      </c>
      <c r="F1534" s="195" t="s">
        <v>396</v>
      </c>
      <c r="G1534" s="195" t="s">
        <v>688</v>
      </c>
    </row>
    <row r="1535" spans="1:7" hidden="1">
      <c r="A1535" s="194" t="s">
        <v>782</v>
      </c>
      <c r="B1535" s="195">
        <v>8100</v>
      </c>
      <c r="C1535" s="195">
        <v>0</v>
      </c>
      <c r="D1535" s="196" t="s">
        <v>440</v>
      </c>
      <c r="E1535" s="196" t="s">
        <v>638</v>
      </c>
      <c r="F1535" s="195" t="s">
        <v>652</v>
      </c>
      <c r="G1535" s="195" t="s">
        <v>688</v>
      </c>
    </row>
    <row r="1536" spans="1:7" hidden="1">
      <c r="A1536" s="194" t="s">
        <v>783</v>
      </c>
      <c r="B1536" s="195">
        <v>66600</v>
      </c>
      <c r="C1536" s="195">
        <v>0</v>
      </c>
      <c r="D1536" s="196" t="s">
        <v>440</v>
      </c>
      <c r="E1536" s="196" t="s">
        <v>638</v>
      </c>
      <c r="F1536" s="195" t="s">
        <v>652</v>
      </c>
      <c r="G1536" s="195" t="s">
        <v>688</v>
      </c>
    </row>
    <row r="1537" spans="1:7" hidden="1">
      <c r="A1537" s="194" t="s">
        <v>784</v>
      </c>
      <c r="B1537" s="195">
        <v>2200</v>
      </c>
      <c r="C1537" s="195">
        <v>0</v>
      </c>
      <c r="D1537" s="196" t="s">
        <v>442</v>
      </c>
      <c r="E1537" s="196" t="s">
        <v>638</v>
      </c>
      <c r="F1537" s="195" t="s">
        <v>396</v>
      </c>
      <c r="G1537" s="195" t="s">
        <v>688</v>
      </c>
    </row>
    <row r="1538" spans="1:7" hidden="1">
      <c r="A1538" s="194" t="s">
        <v>785</v>
      </c>
      <c r="B1538" s="195">
        <v>10600</v>
      </c>
      <c r="C1538" s="195">
        <v>0</v>
      </c>
      <c r="D1538" s="196" t="s">
        <v>440</v>
      </c>
      <c r="E1538" s="196" t="s">
        <v>638</v>
      </c>
      <c r="F1538" s="195" t="s">
        <v>652</v>
      </c>
      <c r="G1538" s="195" t="s">
        <v>688</v>
      </c>
    </row>
    <row r="1539" spans="1:7" hidden="1">
      <c r="A1539" s="194" t="s">
        <v>786</v>
      </c>
      <c r="B1539" s="195">
        <v>2800</v>
      </c>
      <c r="C1539" s="195">
        <v>0</v>
      </c>
      <c r="D1539" s="196" t="s">
        <v>442</v>
      </c>
      <c r="E1539" s="196" t="s">
        <v>638</v>
      </c>
      <c r="F1539" s="195" t="s">
        <v>396</v>
      </c>
      <c r="G1539" s="195" t="s">
        <v>688</v>
      </c>
    </row>
    <row r="1540" spans="1:7" hidden="1">
      <c r="A1540" s="194" t="s">
        <v>787</v>
      </c>
      <c r="B1540" s="195">
        <v>55800</v>
      </c>
      <c r="C1540" s="195">
        <v>0</v>
      </c>
      <c r="D1540" s="196" t="s">
        <v>440</v>
      </c>
      <c r="E1540" s="196" t="s">
        <v>638</v>
      </c>
      <c r="F1540" s="195" t="s">
        <v>652</v>
      </c>
      <c r="G1540" s="195" t="s">
        <v>688</v>
      </c>
    </row>
    <row r="1541" spans="1:7" hidden="1">
      <c r="A1541" s="194" t="s">
        <v>788</v>
      </c>
      <c r="B1541" s="195">
        <v>2600</v>
      </c>
      <c r="C1541" s="195">
        <v>0</v>
      </c>
      <c r="D1541" s="196" t="s">
        <v>442</v>
      </c>
      <c r="E1541" s="196" t="s">
        <v>638</v>
      </c>
      <c r="F1541" s="195" t="s">
        <v>396</v>
      </c>
      <c r="G1541" s="195" t="s">
        <v>688</v>
      </c>
    </row>
    <row r="1542" spans="1:7" hidden="1">
      <c r="A1542" s="194" t="s">
        <v>789</v>
      </c>
      <c r="B1542" s="195">
        <v>2700</v>
      </c>
      <c r="C1542" s="195">
        <v>0</v>
      </c>
      <c r="D1542" s="196" t="s">
        <v>442</v>
      </c>
      <c r="E1542" s="196" t="s">
        <v>638</v>
      </c>
      <c r="F1542" s="195" t="s">
        <v>396</v>
      </c>
      <c r="G1542" s="195" t="s">
        <v>688</v>
      </c>
    </row>
    <row r="1543" spans="1:7" hidden="1">
      <c r="A1543" s="194" t="s">
        <v>790</v>
      </c>
      <c r="B1543" s="195">
        <v>54400</v>
      </c>
      <c r="C1543" s="195">
        <v>0</v>
      </c>
      <c r="D1543" s="196" t="s">
        <v>440</v>
      </c>
      <c r="E1543" s="196" t="s">
        <v>638</v>
      </c>
      <c r="F1543" s="195" t="s">
        <v>652</v>
      </c>
      <c r="G1543" s="195" t="s">
        <v>688</v>
      </c>
    </row>
    <row r="1544" spans="1:7" hidden="1">
      <c r="A1544" s="194" t="s">
        <v>791</v>
      </c>
      <c r="B1544" s="195">
        <v>103700</v>
      </c>
      <c r="C1544" s="195">
        <v>0</v>
      </c>
      <c r="D1544" s="196" t="s">
        <v>440</v>
      </c>
      <c r="E1544" s="196" t="s">
        <v>638</v>
      </c>
      <c r="F1544" s="195" t="s">
        <v>652</v>
      </c>
      <c r="G1544" s="195" t="s">
        <v>688</v>
      </c>
    </row>
    <row r="1545" spans="1:7" hidden="1">
      <c r="A1545" s="194" t="s">
        <v>792</v>
      </c>
      <c r="B1545" s="195">
        <v>3100</v>
      </c>
      <c r="C1545" s="195">
        <v>0</v>
      </c>
      <c r="D1545" s="196" t="s">
        <v>442</v>
      </c>
      <c r="E1545" s="196" t="s">
        <v>638</v>
      </c>
      <c r="F1545" s="195" t="s">
        <v>396</v>
      </c>
      <c r="G1545" s="195" t="s">
        <v>688</v>
      </c>
    </row>
    <row r="1546" spans="1:7" hidden="1">
      <c r="A1546" s="194" t="s">
        <v>793</v>
      </c>
      <c r="B1546" s="195">
        <v>2100</v>
      </c>
      <c r="C1546" s="195">
        <v>0</v>
      </c>
      <c r="D1546" s="196" t="s">
        <v>442</v>
      </c>
      <c r="E1546" s="196" t="s">
        <v>638</v>
      </c>
      <c r="F1546" s="195" t="s">
        <v>396</v>
      </c>
      <c r="G1546" s="195" t="s">
        <v>688</v>
      </c>
    </row>
    <row r="1547" spans="1:7" hidden="1">
      <c r="A1547" s="194" t="s">
        <v>794</v>
      </c>
      <c r="B1547" s="195">
        <v>12500</v>
      </c>
      <c r="C1547" s="195">
        <v>0</v>
      </c>
      <c r="D1547" s="196" t="s">
        <v>440</v>
      </c>
      <c r="E1547" s="196" t="s">
        <v>638</v>
      </c>
      <c r="F1547" s="195" t="s">
        <v>652</v>
      </c>
      <c r="G1547" s="195" t="s">
        <v>688</v>
      </c>
    </row>
    <row r="1548" spans="1:7" hidden="1">
      <c r="A1548" s="194" t="s">
        <v>795</v>
      </c>
      <c r="B1548" s="195">
        <v>5700</v>
      </c>
      <c r="C1548" s="195">
        <v>0</v>
      </c>
      <c r="D1548" s="196" t="s">
        <v>442</v>
      </c>
      <c r="E1548" s="196" t="s">
        <v>638</v>
      </c>
      <c r="F1548" s="195" t="s">
        <v>396</v>
      </c>
      <c r="G1548" s="195" t="s">
        <v>688</v>
      </c>
    </row>
    <row r="1549" spans="1:7" hidden="1">
      <c r="A1549" s="194" t="s">
        <v>796</v>
      </c>
      <c r="B1549" s="195">
        <v>200000</v>
      </c>
      <c r="C1549" s="195">
        <v>0</v>
      </c>
      <c r="D1549" s="196" t="s">
        <v>440</v>
      </c>
      <c r="E1549" s="196" t="s">
        <v>638</v>
      </c>
      <c r="F1549" s="195" t="s">
        <v>652</v>
      </c>
      <c r="G1549" s="195" t="s">
        <v>688</v>
      </c>
    </row>
    <row r="1550" spans="1:7" hidden="1">
      <c r="A1550" s="194" t="s">
        <v>797</v>
      </c>
      <c r="B1550" s="195">
        <v>2100</v>
      </c>
      <c r="C1550" s="195">
        <v>0</v>
      </c>
      <c r="D1550" s="196" t="s">
        <v>442</v>
      </c>
      <c r="E1550" s="196" t="s">
        <v>638</v>
      </c>
      <c r="F1550" s="195" t="s">
        <v>396</v>
      </c>
      <c r="G1550" s="195" t="s">
        <v>688</v>
      </c>
    </row>
    <row r="1551" spans="1:7" hidden="1">
      <c r="A1551" s="194" t="s">
        <v>798</v>
      </c>
      <c r="B1551" s="195">
        <v>31400</v>
      </c>
      <c r="C1551" s="195">
        <v>0</v>
      </c>
      <c r="D1551" s="196" t="s">
        <v>440</v>
      </c>
      <c r="E1551" s="196" t="s">
        <v>638</v>
      </c>
      <c r="F1551" s="195" t="s">
        <v>652</v>
      </c>
      <c r="G1551" s="195" t="s">
        <v>688</v>
      </c>
    </row>
    <row r="1552" spans="1:7" hidden="1">
      <c r="A1552" s="194" t="s">
        <v>799</v>
      </c>
      <c r="B1552" s="195">
        <v>4900</v>
      </c>
      <c r="C1552" s="195">
        <v>0</v>
      </c>
      <c r="D1552" s="196" t="s">
        <v>442</v>
      </c>
      <c r="E1552" s="196" t="s">
        <v>638</v>
      </c>
      <c r="F1552" s="195" t="s">
        <v>396</v>
      </c>
      <c r="G1552" s="195" t="s">
        <v>688</v>
      </c>
    </row>
    <row r="1553" spans="1:7" hidden="1">
      <c r="A1553" s="194" t="s">
        <v>800</v>
      </c>
      <c r="B1553" s="195">
        <v>3100</v>
      </c>
      <c r="C1553" s="195">
        <v>0</v>
      </c>
      <c r="D1553" s="196" t="s">
        <v>442</v>
      </c>
      <c r="E1553" s="196" t="s">
        <v>638</v>
      </c>
      <c r="F1553" s="195" t="s">
        <v>396</v>
      </c>
      <c r="G1553" s="195" t="s">
        <v>688</v>
      </c>
    </row>
    <row r="1554" spans="1:7" hidden="1">
      <c r="A1554" s="194" t="s">
        <v>801</v>
      </c>
      <c r="B1554" s="195">
        <v>66500</v>
      </c>
      <c r="C1554" s="195">
        <v>0</v>
      </c>
      <c r="D1554" s="196" t="s">
        <v>440</v>
      </c>
      <c r="E1554" s="196" t="s">
        <v>638</v>
      </c>
      <c r="F1554" s="195" t="s">
        <v>652</v>
      </c>
      <c r="G1554" s="195" t="s">
        <v>688</v>
      </c>
    </row>
    <row r="1555" spans="1:7" hidden="1">
      <c r="A1555" s="194" t="s">
        <v>802</v>
      </c>
      <c r="B1555" s="195">
        <v>182300</v>
      </c>
      <c r="C1555" s="195">
        <v>0</v>
      </c>
      <c r="D1555" s="196" t="s">
        <v>440</v>
      </c>
      <c r="E1555" s="196" t="s">
        <v>638</v>
      </c>
      <c r="F1555" s="195" t="s">
        <v>652</v>
      </c>
      <c r="G1555" s="195" t="s">
        <v>688</v>
      </c>
    </row>
    <row r="1556" spans="1:7" hidden="1">
      <c r="A1556" s="194" t="s">
        <v>803</v>
      </c>
      <c r="B1556" s="195">
        <v>10100</v>
      </c>
      <c r="C1556" s="195">
        <v>0</v>
      </c>
      <c r="D1556" s="196" t="s">
        <v>440</v>
      </c>
      <c r="E1556" s="196" t="s">
        <v>638</v>
      </c>
      <c r="F1556" s="195" t="s">
        <v>652</v>
      </c>
      <c r="G1556" s="195" t="s">
        <v>688</v>
      </c>
    </row>
    <row r="1557" spans="1:7" hidden="1">
      <c r="A1557" s="194" t="s">
        <v>804</v>
      </c>
      <c r="B1557" s="195">
        <v>176300</v>
      </c>
      <c r="C1557" s="195">
        <v>0</v>
      </c>
      <c r="D1557" s="196" t="s">
        <v>440</v>
      </c>
      <c r="E1557" s="196" t="s">
        <v>638</v>
      </c>
      <c r="F1557" s="195" t="s">
        <v>652</v>
      </c>
      <c r="G1557" s="195" t="s">
        <v>688</v>
      </c>
    </row>
    <row r="1558" spans="1:7" hidden="1">
      <c r="A1558" s="194" t="s">
        <v>805</v>
      </c>
      <c r="B1558" s="195">
        <v>71900</v>
      </c>
      <c r="C1558" s="195">
        <v>0</v>
      </c>
      <c r="D1558" s="196" t="s">
        <v>440</v>
      </c>
      <c r="E1558" s="196" t="s">
        <v>638</v>
      </c>
      <c r="F1558" s="195" t="s">
        <v>652</v>
      </c>
      <c r="G1558" s="195" t="s">
        <v>688</v>
      </c>
    </row>
    <row r="1559" spans="1:7" hidden="1">
      <c r="A1559" s="194" t="s">
        <v>806</v>
      </c>
      <c r="B1559" s="195">
        <v>19010</v>
      </c>
      <c r="C1559" s="195">
        <v>0</v>
      </c>
      <c r="D1559" s="196" t="s">
        <v>440</v>
      </c>
      <c r="E1559" s="196" t="s">
        <v>638</v>
      </c>
      <c r="F1559" s="195" t="s">
        <v>652</v>
      </c>
      <c r="G1559" s="195" t="s">
        <v>688</v>
      </c>
    </row>
    <row r="1560" spans="1:7" hidden="1">
      <c r="A1560" s="194" t="s">
        <v>807</v>
      </c>
      <c r="B1560" s="195">
        <v>-34700</v>
      </c>
      <c r="C1560" s="195">
        <v>0</v>
      </c>
      <c r="D1560" s="196" t="s">
        <v>442</v>
      </c>
      <c r="E1560" s="196" t="s">
        <v>638</v>
      </c>
      <c r="F1560" s="195" t="s">
        <v>396</v>
      </c>
      <c r="G1560" s="195" t="s">
        <v>688</v>
      </c>
    </row>
    <row r="1561" spans="1:7" hidden="1">
      <c r="A1561" s="194" t="s">
        <v>808</v>
      </c>
      <c r="B1561" s="195">
        <v>78600</v>
      </c>
      <c r="C1561" s="195">
        <v>0</v>
      </c>
      <c r="D1561" s="196" t="s">
        <v>440</v>
      </c>
      <c r="E1561" s="196" t="s">
        <v>638</v>
      </c>
      <c r="F1561" s="195" t="s">
        <v>652</v>
      </c>
      <c r="G1561" s="195" t="s">
        <v>688</v>
      </c>
    </row>
    <row r="1562" spans="1:7" hidden="1">
      <c r="A1562" s="194" t="s">
        <v>809</v>
      </c>
      <c r="B1562" s="195">
        <v>126400</v>
      </c>
      <c r="C1562" s="195">
        <v>0</v>
      </c>
      <c r="D1562" s="196" t="s">
        <v>440</v>
      </c>
      <c r="E1562" s="196" t="s">
        <v>638</v>
      </c>
      <c r="F1562" s="195" t="s">
        <v>652</v>
      </c>
      <c r="G1562" s="195" t="s">
        <v>688</v>
      </c>
    </row>
    <row r="1563" spans="1:7" hidden="1">
      <c r="A1563" s="194" t="s">
        <v>810</v>
      </c>
      <c r="B1563" s="195">
        <v>28200</v>
      </c>
      <c r="C1563" s="195">
        <v>0</v>
      </c>
      <c r="D1563" s="196" t="s">
        <v>440</v>
      </c>
      <c r="E1563" s="196" t="s">
        <v>638</v>
      </c>
      <c r="F1563" s="195" t="s">
        <v>652</v>
      </c>
      <c r="G1563" s="195" t="s">
        <v>688</v>
      </c>
    </row>
    <row r="1564" spans="1:7" hidden="1">
      <c r="A1564" s="194" t="s">
        <v>811</v>
      </c>
      <c r="B1564" s="195">
        <v>24500</v>
      </c>
      <c r="C1564" s="195">
        <v>0</v>
      </c>
      <c r="D1564" s="196" t="s">
        <v>440</v>
      </c>
      <c r="E1564" s="196" t="s">
        <v>638</v>
      </c>
      <c r="F1564" s="195" t="s">
        <v>652</v>
      </c>
      <c r="G1564" s="195" t="s">
        <v>688</v>
      </c>
    </row>
    <row r="1565" spans="1:7" hidden="1">
      <c r="A1565" s="194" t="s">
        <v>812</v>
      </c>
      <c r="B1565" s="195">
        <v>80600</v>
      </c>
      <c r="C1565" s="195">
        <v>0</v>
      </c>
      <c r="D1565" s="196" t="s">
        <v>440</v>
      </c>
      <c r="E1565" s="196" t="s">
        <v>638</v>
      </c>
      <c r="F1565" s="195" t="s">
        <v>652</v>
      </c>
      <c r="G1565" s="195" t="s">
        <v>688</v>
      </c>
    </row>
    <row r="1566" spans="1:7" hidden="1">
      <c r="A1566" s="194" t="s">
        <v>813</v>
      </c>
      <c r="B1566" s="195">
        <v>22400</v>
      </c>
      <c r="C1566" s="195">
        <v>0</v>
      </c>
      <c r="D1566" s="196" t="s">
        <v>440</v>
      </c>
      <c r="E1566" s="196" t="s">
        <v>638</v>
      </c>
      <c r="F1566" s="195" t="s">
        <v>652</v>
      </c>
      <c r="G1566" s="195" t="s">
        <v>688</v>
      </c>
    </row>
    <row r="1567" spans="1:7" hidden="1">
      <c r="A1567" s="194" t="s">
        <v>814</v>
      </c>
      <c r="B1567" s="195">
        <v>90700</v>
      </c>
      <c r="C1567" s="195">
        <v>0</v>
      </c>
      <c r="D1567" s="196" t="s">
        <v>440</v>
      </c>
      <c r="E1567" s="196" t="s">
        <v>638</v>
      </c>
      <c r="F1567" s="195" t="s">
        <v>652</v>
      </c>
      <c r="G1567" s="195" t="s">
        <v>688</v>
      </c>
    </row>
    <row r="1568" spans="1:7" hidden="1">
      <c r="A1568" s="194" t="s">
        <v>815</v>
      </c>
      <c r="B1568" s="195">
        <v>7700</v>
      </c>
      <c r="C1568" s="195">
        <v>0</v>
      </c>
      <c r="D1568" s="196" t="s">
        <v>440</v>
      </c>
      <c r="E1568" s="196" t="s">
        <v>638</v>
      </c>
      <c r="F1568" s="195" t="s">
        <v>652</v>
      </c>
      <c r="G1568" s="195" t="s">
        <v>688</v>
      </c>
    </row>
    <row r="1569" spans="1:7" hidden="1">
      <c r="A1569" s="194" t="s">
        <v>816</v>
      </c>
      <c r="B1569" s="195">
        <v>-10200</v>
      </c>
      <c r="C1569" s="195">
        <v>0</v>
      </c>
      <c r="D1569" s="196" t="s">
        <v>442</v>
      </c>
      <c r="E1569" s="196" t="s">
        <v>638</v>
      </c>
      <c r="F1569" s="195" t="s">
        <v>396</v>
      </c>
      <c r="G1569" s="195" t="s">
        <v>688</v>
      </c>
    </row>
    <row r="1570" spans="1:7" hidden="1">
      <c r="A1570" s="194" t="s">
        <v>817</v>
      </c>
      <c r="B1570" s="195">
        <v>8000</v>
      </c>
      <c r="C1570" s="195">
        <v>0</v>
      </c>
      <c r="D1570" s="196" t="s">
        <v>440</v>
      </c>
      <c r="E1570" s="196" t="s">
        <v>638</v>
      </c>
      <c r="F1570" s="195" t="s">
        <v>652</v>
      </c>
      <c r="G1570" s="195" t="s">
        <v>688</v>
      </c>
    </row>
    <row r="1571" spans="1:7" hidden="1">
      <c r="A1571" s="194" t="s">
        <v>818</v>
      </c>
      <c r="B1571" s="195">
        <v>27600</v>
      </c>
      <c r="C1571" s="195">
        <v>0</v>
      </c>
      <c r="D1571" s="196" t="s">
        <v>440</v>
      </c>
      <c r="E1571" s="196" t="s">
        <v>638</v>
      </c>
      <c r="F1571" s="195" t="s">
        <v>652</v>
      </c>
      <c r="G1571" s="195" t="s">
        <v>688</v>
      </c>
    </row>
    <row r="1572" spans="1:7" hidden="1">
      <c r="A1572" s="194" t="s">
        <v>819</v>
      </c>
      <c r="B1572" s="195">
        <v>-13600</v>
      </c>
      <c r="C1572" s="195">
        <v>0</v>
      </c>
      <c r="D1572" s="196" t="s">
        <v>442</v>
      </c>
      <c r="E1572" s="196" t="s">
        <v>638</v>
      </c>
      <c r="F1572" s="195" t="s">
        <v>396</v>
      </c>
      <c r="G1572" s="195" t="s">
        <v>688</v>
      </c>
    </row>
    <row r="1573" spans="1:7" hidden="1">
      <c r="A1573" s="194" t="s">
        <v>820</v>
      </c>
      <c r="B1573" s="195">
        <v>-17000</v>
      </c>
      <c r="C1573" s="195">
        <v>0</v>
      </c>
      <c r="D1573" s="196" t="s">
        <v>442</v>
      </c>
      <c r="E1573" s="196" t="s">
        <v>638</v>
      </c>
      <c r="F1573" s="195" t="s">
        <v>396</v>
      </c>
      <c r="G1573" s="195" t="s">
        <v>688</v>
      </c>
    </row>
    <row r="1574" spans="1:7" hidden="1">
      <c r="A1574" s="194" t="s">
        <v>821</v>
      </c>
      <c r="B1574" s="195">
        <v>1700</v>
      </c>
      <c r="C1574" s="195">
        <v>0</v>
      </c>
      <c r="D1574" s="196" t="s">
        <v>440</v>
      </c>
      <c r="E1574" s="196" t="s">
        <v>638</v>
      </c>
      <c r="F1574" s="195" t="s">
        <v>652</v>
      </c>
      <c r="G1574" s="195" t="s">
        <v>688</v>
      </c>
    </row>
    <row r="1575" spans="1:7" hidden="1">
      <c r="A1575" s="194" t="s">
        <v>822</v>
      </c>
      <c r="B1575" s="195">
        <v>45400</v>
      </c>
      <c r="C1575" s="195">
        <v>0</v>
      </c>
      <c r="D1575" s="196" t="s">
        <v>440</v>
      </c>
      <c r="E1575" s="196" t="s">
        <v>638</v>
      </c>
      <c r="F1575" s="195" t="s">
        <v>652</v>
      </c>
      <c r="G1575" s="195" t="s">
        <v>688</v>
      </c>
    </row>
    <row r="1576" spans="1:7" hidden="1">
      <c r="A1576" s="194" t="s">
        <v>823</v>
      </c>
      <c r="B1576" s="195">
        <v>-53450</v>
      </c>
      <c r="C1576" s="195">
        <v>0</v>
      </c>
      <c r="D1576" s="196" t="s">
        <v>440</v>
      </c>
      <c r="E1576" s="196" t="s">
        <v>638</v>
      </c>
      <c r="F1576" s="195" t="s">
        <v>652</v>
      </c>
      <c r="G1576" s="195" t="s">
        <v>688</v>
      </c>
    </row>
    <row r="1577" spans="1:7" hidden="1">
      <c r="A1577" s="194" t="s">
        <v>824</v>
      </c>
      <c r="B1577" s="195">
        <v>-1400</v>
      </c>
      <c r="C1577" s="195">
        <v>0</v>
      </c>
      <c r="D1577" s="196" t="s">
        <v>442</v>
      </c>
      <c r="E1577" s="196" t="s">
        <v>638</v>
      </c>
      <c r="F1577" s="195" t="s">
        <v>396</v>
      </c>
      <c r="G1577" s="195" t="s">
        <v>688</v>
      </c>
    </row>
    <row r="1578" spans="1:7" hidden="1">
      <c r="A1578" s="194" t="s">
        <v>825</v>
      </c>
      <c r="B1578" s="195">
        <v>-89339</v>
      </c>
      <c r="C1578" s="195">
        <v>0</v>
      </c>
      <c r="D1578" s="196" t="s">
        <v>442</v>
      </c>
      <c r="E1578" s="196" t="s">
        <v>638</v>
      </c>
      <c r="F1578" s="195" t="s">
        <v>396</v>
      </c>
      <c r="G1578" s="195" t="s">
        <v>688</v>
      </c>
    </row>
    <row r="1579" spans="1:7" hidden="1">
      <c r="A1579" s="194" t="s">
        <v>826</v>
      </c>
      <c r="B1579" s="195">
        <v>-5100</v>
      </c>
      <c r="C1579" s="195">
        <v>0</v>
      </c>
      <c r="D1579" s="196" t="s">
        <v>442</v>
      </c>
      <c r="E1579" s="196" t="s">
        <v>638</v>
      </c>
      <c r="F1579" s="195" t="s">
        <v>396</v>
      </c>
      <c r="G1579" s="195" t="s">
        <v>688</v>
      </c>
    </row>
    <row r="1580" spans="1:7" hidden="1">
      <c r="A1580" s="194" t="s">
        <v>827</v>
      </c>
      <c r="B1580" s="195">
        <v>-2600</v>
      </c>
      <c r="C1580" s="195">
        <v>0</v>
      </c>
      <c r="D1580" s="196" t="s">
        <v>442</v>
      </c>
      <c r="E1580" s="196" t="s">
        <v>638</v>
      </c>
      <c r="F1580" s="195" t="s">
        <v>396</v>
      </c>
      <c r="G1580" s="195" t="s">
        <v>688</v>
      </c>
    </row>
    <row r="1581" spans="1:7" hidden="1">
      <c r="A1581" s="194" t="s">
        <v>828</v>
      </c>
      <c r="B1581" s="195">
        <v>44600</v>
      </c>
      <c r="C1581" s="195">
        <v>0</v>
      </c>
      <c r="D1581" s="196" t="s">
        <v>440</v>
      </c>
      <c r="E1581" s="196" t="s">
        <v>638</v>
      </c>
      <c r="F1581" s="195" t="s">
        <v>652</v>
      </c>
      <c r="G1581" s="195" t="s">
        <v>688</v>
      </c>
    </row>
    <row r="1582" spans="1:7" hidden="1">
      <c r="A1582" s="194" t="s">
        <v>829</v>
      </c>
      <c r="B1582" s="195">
        <v>41500</v>
      </c>
      <c r="C1582" s="195">
        <v>0</v>
      </c>
      <c r="D1582" s="196" t="s">
        <v>440</v>
      </c>
      <c r="E1582" s="196" t="s">
        <v>638</v>
      </c>
      <c r="F1582" s="195" t="s">
        <v>652</v>
      </c>
      <c r="G1582" s="195" t="s">
        <v>688</v>
      </c>
    </row>
    <row r="1583" spans="1:7" hidden="1">
      <c r="A1583" s="194" t="s">
        <v>830</v>
      </c>
      <c r="B1583" s="195">
        <v>7900</v>
      </c>
      <c r="C1583" s="195">
        <v>0</v>
      </c>
      <c r="D1583" s="196" t="s">
        <v>440</v>
      </c>
      <c r="E1583" s="196" t="s">
        <v>638</v>
      </c>
      <c r="F1583" s="195" t="s">
        <v>652</v>
      </c>
      <c r="G1583" s="195" t="s">
        <v>688</v>
      </c>
    </row>
    <row r="1584" spans="1:7" hidden="1">
      <c r="A1584" s="194" t="s">
        <v>831</v>
      </c>
      <c r="B1584" s="195">
        <v>117700</v>
      </c>
      <c r="C1584" s="195">
        <v>0</v>
      </c>
      <c r="D1584" s="196" t="s">
        <v>440</v>
      </c>
      <c r="E1584" s="196" t="s">
        <v>638</v>
      </c>
      <c r="F1584" s="195" t="s">
        <v>652</v>
      </c>
      <c r="G1584" s="195" t="s">
        <v>688</v>
      </c>
    </row>
    <row r="1585" spans="1:7" hidden="1">
      <c r="A1585" s="194" t="s">
        <v>832</v>
      </c>
      <c r="B1585" s="195">
        <v>34900</v>
      </c>
      <c r="C1585" s="195">
        <v>0</v>
      </c>
      <c r="D1585" s="196" t="s">
        <v>440</v>
      </c>
      <c r="E1585" s="196" t="s">
        <v>638</v>
      </c>
      <c r="F1585" s="195" t="s">
        <v>652</v>
      </c>
      <c r="G1585" s="195" t="s">
        <v>688</v>
      </c>
    </row>
    <row r="1586" spans="1:7" hidden="1">
      <c r="A1586" s="194" t="s">
        <v>833</v>
      </c>
      <c r="B1586" s="195">
        <v>6600</v>
      </c>
      <c r="C1586" s="195">
        <v>0</v>
      </c>
      <c r="D1586" s="196" t="s">
        <v>440</v>
      </c>
      <c r="E1586" s="196" t="s">
        <v>638</v>
      </c>
      <c r="F1586" s="195" t="s">
        <v>652</v>
      </c>
      <c r="G1586" s="195" t="s">
        <v>688</v>
      </c>
    </row>
    <row r="1587" spans="1:7" hidden="1">
      <c r="A1587" s="194" t="s">
        <v>834</v>
      </c>
      <c r="B1587" s="195">
        <v>7500</v>
      </c>
      <c r="C1587" s="195">
        <v>0</v>
      </c>
      <c r="D1587" s="196" t="s">
        <v>440</v>
      </c>
      <c r="E1587" s="196" t="s">
        <v>638</v>
      </c>
      <c r="F1587" s="195" t="s">
        <v>652</v>
      </c>
      <c r="G1587" s="195" t="s">
        <v>688</v>
      </c>
    </row>
    <row r="1588" spans="1:7" hidden="1">
      <c r="A1588" s="194" t="s">
        <v>835</v>
      </c>
      <c r="B1588" s="195">
        <v>37100</v>
      </c>
      <c r="C1588" s="195">
        <v>0</v>
      </c>
      <c r="D1588" s="196" t="s">
        <v>440</v>
      </c>
      <c r="E1588" s="196" t="s">
        <v>638</v>
      </c>
      <c r="F1588" s="195" t="s">
        <v>652</v>
      </c>
      <c r="G1588" s="195" t="s">
        <v>688</v>
      </c>
    </row>
    <row r="1589" spans="1:7" hidden="1">
      <c r="A1589" s="194" t="s">
        <v>836</v>
      </c>
      <c r="B1589" s="195">
        <v>2000</v>
      </c>
      <c r="C1589" s="195">
        <v>0</v>
      </c>
      <c r="D1589" s="196" t="s">
        <v>442</v>
      </c>
      <c r="E1589" s="196" t="s">
        <v>638</v>
      </c>
      <c r="F1589" s="195" t="s">
        <v>396</v>
      </c>
      <c r="G1589" s="195" t="s">
        <v>688</v>
      </c>
    </row>
    <row r="1590" spans="1:7" hidden="1">
      <c r="A1590" s="194" t="s">
        <v>837</v>
      </c>
      <c r="B1590" s="195">
        <v>10000</v>
      </c>
      <c r="C1590" s="195">
        <v>0</v>
      </c>
      <c r="D1590" s="196" t="s">
        <v>440</v>
      </c>
      <c r="E1590" s="196" t="s">
        <v>638</v>
      </c>
      <c r="F1590" s="195" t="s">
        <v>652</v>
      </c>
      <c r="G1590" s="195" t="s">
        <v>688</v>
      </c>
    </row>
    <row r="1591" spans="1:7" hidden="1">
      <c r="A1591" s="194" t="s">
        <v>838</v>
      </c>
      <c r="B1591" s="195">
        <v>5000</v>
      </c>
      <c r="C1591" s="195">
        <v>0</v>
      </c>
      <c r="D1591" s="196" t="s">
        <v>440</v>
      </c>
      <c r="E1591" s="196" t="s">
        <v>638</v>
      </c>
      <c r="F1591" s="195" t="s">
        <v>652</v>
      </c>
      <c r="G1591" s="195" t="s">
        <v>688</v>
      </c>
    </row>
    <row r="1592" spans="1:7" hidden="1">
      <c r="A1592" s="194" t="s">
        <v>839</v>
      </c>
      <c r="B1592" s="195">
        <v>4000</v>
      </c>
      <c r="C1592" s="195">
        <v>0</v>
      </c>
      <c r="D1592" s="196" t="s">
        <v>442</v>
      </c>
      <c r="E1592" s="196" t="s">
        <v>638</v>
      </c>
      <c r="F1592" s="195" t="s">
        <v>396</v>
      </c>
      <c r="G1592" s="195" t="s">
        <v>688</v>
      </c>
    </row>
    <row r="1593" spans="1:7" hidden="1">
      <c r="A1593" s="194" t="s">
        <v>840</v>
      </c>
      <c r="B1593" s="195">
        <v>3500</v>
      </c>
      <c r="C1593" s="195">
        <v>0</v>
      </c>
      <c r="D1593" s="196" t="s">
        <v>442</v>
      </c>
      <c r="E1593" s="196" t="s">
        <v>638</v>
      </c>
      <c r="F1593" s="195" t="s">
        <v>396</v>
      </c>
      <c r="G1593" s="195" t="s">
        <v>688</v>
      </c>
    </row>
    <row r="1594" spans="1:7" hidden="1">
      <c r="A1594" s="194" t="s">
        <v>841</v>
      </c>
      <c r="B1594" s="195">
        <v>2200</v>
      </c>
      <c r="C1594" s="195">
        <v>0</v>
      </c>
      <c r="D1594" s="196" t="s">
        <v>442</v>
      </c>
      <c r="E1594" s="196" t="s">
        <v>638</v>
      </c>
      <c r="F1594" s="195" t="s">
        <v>396</v>
      </c>
      <c r="G1594" s="195" t="s">
        <v>688</v>
      </c>
    </row>
    <row r="1595" spans="1:7" hidden="1">
      <c r="A1595" s="194" t="s">
        <v>841</v>
      </c>
      <c r="B1595" s="195">
        <v>37600</v>
      </c>
      <c r="C1595" s="195">
        <v>0</v>
      </c>
      <c r="D1595" s="196" t="s">
        <v>474</v>
      </c>
      <c r="E1595" s="196" t="s">
        <v>638</v>
      </c>
      <c r="F1595" s="195" t="s">
        <v>396</v>
      </c>
      <c r="G1595" s="195" t="s">
        <v>688</v>
      </c>
    </row>
    <row r="1596" spans="1:7" hidden="1">
      <c r="A1596" s="194" t="s">
        <v>842</v>
      </c>
      <c r="B1596" s="195">
        <v>26400</v>
      </c>
      <c r="C1596" s="195">
        <v>0</v>
      </c>
      <c r="D1596" s="196" t="s">
        <v>440</v>
      </c>
      <c r="E1596" s="196" t="s">
        <v>638</v>
      </c>
      <c r="F1596" s="195" t="s">
        <v>652</v>
      </c>
      <c r="G1596" s="195" t="s">
        <v>688</v>
      </c>
    </row>
    <row r="1597" spans="1:7" hidden="1">
      <c r="A1597" s="194" t="s">
        <v>843</v>
      </c>
      <c r="B1597" s="195">
        <v>2500</v>
      </c>
      <c r="C1597" s="195">
        <v>0</v>
      </c>
      <c r="D1597" s="196" t="s">
        <v>442</v>
      </c>
      <c r="E1597" s="196" t="s">
        <v>638</v>
      </c>
      <c r="F1597" s="195" t="s">
        <v>396</v>
      </c>
      <c r="G1597" s="195" t="s">
        <v>688</v>
      </c>
    </row>
    <row r="1598" spans="1:7" hidden="1">
      <c r="A1598" s="194" t="s">
        <v>844</v>
      </c>
      <c r="B1598" s="195">
        <v>3300</v>
      </c>
      <c r="C1598" s="195">
        <v>0</v>
      </c>
      <c r="D1598" s="196" t="s">
        <v>442</v>
      </c>
      <c r="E1598" s="196" t="s">
        <v>638</v>
      </c>
      <c r="F1598" s="195" t="s">
        <v>396</v>
      </c>
      <c r="G1598" s="195" t="s">
        <v>688</v>
      </c>
    </row>
    <row r="1599" spans="1:7" hidden="1">
      <c r="A1599" s="194" t="s">
        <v>845</v>
      </c>
      <c r="B1599" s="195">
        <v>35900</v>
      </c>
      <c r="C1599" s="195">
        <v>0</v>
      </c>
      <c r="D1599" s="196" t="s">
        <v>440</v>
      </c>
      <c r="E1599" s="196" t="s">
        <v>638</v>
      </c>
      <c r="F1599" s="195" t="s">
        <v>652</v>
      </c>
      <c r="G1599" s="195" t="s">
        <v>688</v>
      </c>
    </row>
    <row r="1600" spans="1:7" hidden="1">
      <c r="A1600" s="194" t="s">
        <v>846</v>
      </c>
      <c r="B1600" s="195">
        <v>32700</v>
      </c>
      <c r="C1600" s="195">
        <v>0</v>
      </c>
      <c r="D1600" s="196" t="s">
        <v>440</v>
      </c>
      <c r="E1600" s="196" t="s">
        <v>638</v>
      </c>
      <c r="F1600" s="195" t="s">
        <v>652</v>
      </c>
      <c r="G1600" s="195" t="s">
        <v>688</v>
      </c>
    </row>
    <row r="1601" spans="1:7" hidden="1">
      <c r="A1601" s="194" t="s">
        <v>847</v>
      </c>
      <c r="B1601" s="195">
        <v>17700</v>
      </c>
      <c r="C1601" s="195">
        <v>0</v>
      </c>
      <c r="D1601" s="196" t="s">
        <v>440</v>
      </c>
      <c r="E1601" s="196" t="s">
        <v>638</v>
      </c>
      <c r="F1601" s="195" t="s">
        <v>652</v>
      </c>
      <c r="G1601" s="195" t="s">
        <v>688</v>
      </c>
    </row>
    <row r="1602" spans="1:7" hidden="1">
      <c r="A1602" s="194" t="s">
        <v>848</v>
      </c>
      <c r="B1602" s="195">
        <v>44000</v>
      </c>
      <c r="C1602" s="195">
        <v>0</v>
      </c>
      <c r="D1602" s="196" t="s">
        <v>440</v>
      </c>
      <c r="E1602" s="196" t="s">
        <v>638</v>
      </c>
      <c r="F1602" s="195" t="s">
        <v>652</v>
      </c>
      <c r="G1602" s="195" t="s">
        <v>688</v>
      </c>
    </row>
    <row r="1603" spans="1:7" hidden="1">
      <c r="A1603" s="194" t="s">
        <v>849</v>
      </c>
      <c r="B1603" s="195">
        <v>-95900</v>
      </c>
      <c r="C1603" s="195">
        <v>0</v>
      </c>
      <c r="D1603" s="196" t="s">
        <v>440</v>
      </c>
      <c r="E1603" s="196" t="s">
        <v>638</v>
      </c>
      <c r="F1603" s="195" t="s">
        <v>409</v>
      </c>
      <c r="G1603" s="195" t="s">
        <v>688</v>
      </c>
    </row>
    <row r="1604" spans="1:7" hidden="1">
      <c r="A1604" s="194" t="s">
        <v>850</v>
      </c>
      <c r="B1604" s="195">
        <v>24800</v>
      </c>
      <c r="C1604" s="195">
        <v>0</v>
      </c>
      <c r="D1604" s="196" t="s">
        <v>440</v>
      </c>
      <c r="E1604" s="196" t="s">
        <v>638</v>
      </c>
      <c r="F1604" s="195" t="s">
        <v>652</v>
      </c>
      <c r="G1604" s="195" t="s">
        <v>688</v>
      </c>
    </row>
    <row r="1605" spans="1:7" hidden="1">
      <c r="A1605" s="194" t="s">
        <v>851</v>
      </c>
      <c r="B1605" s="195">
        <v>3200</v>
      </c>
      <c r="C1605" s="195">
        <v>0</v>
      </c>
      <c r="D1605" s="196" t="s">
        <v>442</v>
      </c>
      <c r="E1605" s="196" t="s">
        <v>638</v>
      </c>
      <c r="F1605" s="195" t="s">
        <v>396</v>
      </c>
      <c r="G1605" s="195" t="s">
        <v>688</v>
      </c>
    </row>
    <row r="1606" spans="1:7" hidden="1">
      <c r="A1606" s="194" t="s">
        <v>852</v>
      </c>
      <c r="B1606" s="195">
        <v>7900</v>
      </c>
      <c r="C1606" s="195">
        <v>0</v>
      </c>
      <c r="D1606" s="196" t="s">
        <v>440</v>
      </c>
      <c r="E1606" s="196" t="s">
        <v>638</v>
      </c>
      <c r="F1606" s="195" t="s">
        <v>652</v>
      </c>
      <c r="G1606" s="195" t="s">
        <v>688</v>
      </c>
    </row>
    <row r="1607" spans="1:7" hidden="1">
      <c r="A1607" s="194" t="s">
        <v>853</v>
      </c>
      <c r="B1607" s="195">
        <v>7400</v>
      </c>
      <c r="C1607" s="195">
        <v>0</v>
      </c>
      <c r="D1607" s="196" t="s">
        <v>440</v>
      </c>
      <c r="E1607" s="196" t="s">
        <v>638</v>
      </c>
      <c r="F1607" s="195" t="s">
        <v>652</v>
      </c>
      <c r="G1607" s="195" t="s">
        <v>688</v>
      </c>
    </row>
    <row r="1608" spans="1:7" hidden="1">
      <c r="A1608" s="194" t="s">
        <v>854</v>
      </c>
      <c r="B1608" s="195">
        <v>1600</v>
      </c>
      <c r="C1608" s="195">
        <v>0</v>
      </c>
      <c r="D1608" s="196" t="s">
        <v>442</v>
      </c>
      <c r="E1608" s="196" t="s">
        <v>638</v>
      </c>
      <c r="F1608" s="195" t="s">
        <v>396</v>
      </c>
      <c r="G1608" s="195" t="s">
        <v>688</v>
      </c>
    </row>
    <row r="1609" spans="1:7" hidden="1">
      <c r="A1609" s="194" t="s">
        <v>855</v>
      </c>
      <c r="B1609" s="195">
        <v>27600</v>
      </c>
      <c r="C1609" s="195">
        <v>0</v>
      </c>
      <c r="D1609" s="196" t="s">
        <v>440</v>
      </c>
      <c r="E1609" s="196" t="s">
        <v>638</v>
      </c>
      <c r="F1609" s="195" t="s">
        <v>652</v>
      </c>
      <c r="G1609" s="195" t="s">
        <v>688</v>
      </c>
    </row>
    <row r="1610" spans="1:7" hidden="1">
      <c r="A1610" s="194" t="s">
        <v>856</v>
      </c>
      <c r="B1610" s="195">
        <v>33000</v>
      </c>
      <c r="C1610" s="195">
        <v>0</v>
      </c>
      <c r="D1610" s="196" t="s">
        <v>440</v>
      </c>
      <c r="E1610" s="196" t="s">
        <v>638</v>
      </c>
      <c r="F1610" s="195" t="s">
        <v>652</v>
      </c>
      <c r="G1610" s="195" t="s">
        <v>688</v>
      </c>
    </row>
    <row r="1611" spans="1:7" hidden="1">
      <c r="A1611" s="194" t="s">
        <v>857</v>
      </c>
      <c r="B1611" s="195">
        <v>43000</v>
      </c>
      <c r="C1611" s="195">
        <v>0</v>
      </c>
      <c r="D1611" s="196" t="s">
        <v>440</v>
      </c>
      <c r="E1611" s="196" t="s">
        <v>638</v>
      </c>
      <c r="F1611" s="195" t="s">
        <v>652</v>
      </c>
      <c r="G1611" s="195" t="s">
        <v>688</v>
      </c>
    </row>
    <row r="1612" spans="1:7" hidden="1">
      <c r="A1612" s="194" t="s">
        <v>858</v>
      </c>
      <c r="B1612" s="195">
        <v>-10800</v>
      </c>
      <c r="C1612" s="195">
        <v>0</v>
      </c>
      <c r="D1612" s="196" t="s">
        <v>440</v>
      </c>
      <c r="E1612" s="196" t="s">
        <v>638</v>
      </c>
      <c r="F1612" s="195" t="s">
        <v>652</v>
      </c>
      <c r="G1612" s="195" t="s">
        <v>688</v>
      </c>
    </row>
    <row r="1613" spans="1:7" hidden="1">
      <c r="A1613" s="194" t="s">
        <v>859</v>
      </c>
      <c r="B1613" s="195">
        <v>-12800</v>
      </c>
      <c r="C1613" s="195">
        <v>0</v>
      </c>
      <c r="D1613" s="196" t="s">
        <v>440</v>
      </c>
      <c r="E1613" s="196" t="s">
        <v>638</v>
      </c>
      <c r="F1613" s="195" t="s">
        <v>652</v>
      </c>
      <c r="G1613" s="195" t="s">
        <v>688</v>
      </c>
    </row>
    <row r="1614" spans="1:7" hidden="1">
      <c r="A1614" s="194" t="s">
        <v>860</v>
      </c>
      <c r="B1614" s="195">
        <v>-8400</v>
      </c>
      <c r="C1614" s="195">
        <v>0</v>
      </c>
      <c r="D1614" s="196" t="s">
        <v>440</v>
      </c>
      <c r="E1614" s="196" t="s">
        <v>638</v>
      </c>
      <c r="F1614" s="195" t="s">
        <v>409</v>
      </c>
      <c r="G1614" s="195" t="s">
        <v>688</v>
      </c>
    </row>
    <row r="1615" spans="1:7" hidden="1">
      <c r="A1615" s="194" t="s">
        <v>861</v>
      </c>
      <c r="B1615" s="195">
        <v>22100</v>
      </c>
      <c r="C1615" s="195">
        <v>0</v>
      </c>
      <c r="D1615" s="196" t="s">
        <v>440</v>
      </c>
      <c r="E1615" s="196" t="s">
        <v>638</v>
      </c>
      <c r="F1615" s="195" t="s">
        <v>652</v>
      </c>
      <c r="G1615" s="195" t="s">
        <v>688</v>
      </c>
    </row>
    <row r="1616" spans="1:7" hidden="1">
      <c r="A1616" s="194" t="s">
        <v>862</v>
      </c>
      <c r="B1616" s="195">
        <v>35500</v>
      </c>
      <c r="C1616" s="195">
        <v>0</v>
      </c>
      <c r="D1616" s="196" t="s">
        <v>440</v>
      </c>
      <c r="E1616" s="196" t="s">
        <v>638</v>
      </c>
      <c r="F1616" s="195" t="s">
        <v>409</v>
      </c>
      <c r="G1616" s="195" t="s">
        <v>688</v>
      </c>
    </row>
    <row r="1617" spans="1:7" hidden="1">
      <c r="A1617" s="194" t="s">
        <v>863</v>
      </c>
      <c r="B1617" s="195">
        <v>-7200</v>
      </c>
      <c r="C1617" s="195">
        <v>0</v>
      </c>
      <c r="D1617" s="196" t="s">
        <v>442</v>
      </c>
      <c r="E1617" s="196" t="s">
        <v>638</v>
      </c>
      <c r="F1617" s="195" t="s">
        <v>396</v>
      </c>
      <c r="G1617" s="195" t="s">
        <v>688</v>
      </c>
    </row>
    <row r="1618" spans="1:7" hidden="1">
      <c r="A1618" s="194" t="s">
        <v>864</v>
      </c>
      <c r="B1618" s="195">
        <v>-5000</v>
      </c>
      <c r="C1618" s="195">
        <v>0</v>
      </c>
      <c r="D1618" s="196" t="s">
        <v>442</v>
      </c>
      <c r="E1618" s="196" t="s">
        <v>638</v>
      </c>
      <c r="F1618" s="195" t="s">
        <v>396</v>
      </c>
      <c r="G1618" s="195" t="s">
        <v>688</v>
      </c>
    </row>
    <row r="1619" spans="1:7" hidden="1">
      <c r="A1619" s="194" t="s">
        <v>865</v>
      </c>
      <c r="B1619" s="195">
        <v>-16444</v>
      </c>
      <c r="C1619" s="195">
        <v>0</v>
      </c>
      <c r="D1619" s="196" t="s">
        <v>442</v>
      </c>
      <c r="E1619" s="196" t="s">
        <v>638</v>
      </c>
      <c r="F1619" s="195" t="s">
        <v>396</v>
      </c>
      <c r="G1619" s="195" t="s">
        <v>688</v>
      </c>
    </row>
    <row r="1620" spans="1:7" hidden="1">
      <c r="A1620" s="194" t="s">
        <v>865</v>
      </c>
      <c r="B1620" s="195">
        <v>-28500</v>
      </c>
      <c r="C1620" s="195">
        <v>0</v>
      </c>
      <c r="D1620" s="196" t="s">
        <v>474</v>
      </c>
      <c r="E1620" s="196" t="s">
        <v>638</v>
      </c>
      <c r="F1620" s="195" t="s">
        <v>396</v>
      </c>
      <c r="G1620" s="195" t="s">
        <v>688</v>
      </c>
    </row>
    <row r="1621" spans="1:7" hidden="1">
      <c r="A1621" s="194" t="s">
        <v>866</v>
      </c>
      <c r="B1621" s="195">
        <v>-3300</v>
      </c>
      <c r="C1621" s="195">
        <v>0</v>
      </c>
      <c r="D1621" s="196" t="s">
        <v>442</v>
      </c>
      <c r="E1621" s="196" t="s">
        <v>638</v>
      </c>
      <c r="F1621" s="195" t="s">
        <v>396</v>
      </c>
      <c r="G1621" s="195" t="s">
        <v>688</v>
      </c>
    </row>
    <row r="1622" spans="1:7" hidden="1">
      <c r="A1622" s="194" t="s">
        <v>866</v>
      </c>
      <c r="B1622" s="195">
        <v>-27200</v>
      </c>
      <c r="C1622" s="195">
        <v>0</v>
      </c>
      <c r="D1622" s="196" t="s">
        <v>474</v>
      </c>
      <c r="E1622" s="196" t="s">
        <v>638</v>
      </c>
      <c r="F1622" s="195" t="s">
        <v>396</v>
      </c>
      <c r="G1622" s="195" t="s">
        <v>688</v>
      </c>
    </row>
    <row r="1623" spans="1:7" hidden="1">
      <c r="A1623" s="194" t="s">
        <v>867</v>
      </c>
      <c r="B1623" s="195">
        <v>25048</v>
      </c>
      <c r="C1623" s="195">
        <v>0</v>
      </c>
      <c r="D1623" s="196" t="s">
        <v>440</v>
      </c>
      <c r="E1623" s="196" t="s">
        <v>638</v>
      </c>
      <c r="F1623" s="195" t="s">
        <v>652</v>
      </c>
      <c r="G1623" s="195" t="s">
        <v>688</v>
      </c>
    </row>
    <row r="1624" spans="1:7" hidden="1">
      <c r="A1624" s="194" t="s">
        <v>868</v>
      </c>
      <c r="B1624" s="195">
        <v>26700</v>
      </c>
      <c r="C1624" s="195">
        <v>0</v>
      </c>
      <c r="D1624" s="196" t="s">
        <v>440</v>
      </c>
      <c r="E1624" s="196" t="s">
        <v>638</v>
      </c>
      <c r="F1624" s="195" t="s">
        <v>652</v>
      </c>
      <c r="G1624" s="195" t="s">
        <v>688</v>
      </c>
    </row>
    <row r="1625" spans="1:7" hidden="1">
      <c r="A1625" s="194" t="s">
        <v>869</v>
      </c>
      <c r="B1625" s="195">
        <v>26400</v>
      </c>
      <c r="C1625" s="195">
        <v>0</v>
      </c>
      <c r="D1625" s="196" t="s">
        <v>440</v>
      </c>
      <c r="E1625" s="196" t="s">
        <v>638</v>
      </c>
      <c r="F1625" s="195" t="s">
        <v>652</v>
      </c>
      <c r="G1625" s="195" t="s">
        <v>688</v>
      </c>
    </row>
    <row r="1626" spans="1:7" hidden="1">
      <c r="A1626" s="194" t="s">
        <v>870</v>
      </c>
      <c r="B1626" s="195">
        <v>-11100</v>
      </c>
      <c r="C1626" s="195">
        <v>0</v>
      </c>
      <c r="D1626" s="196" t="s">
        <v>442</v>
      </c>
      <c r="E1626" s="196" t="s">
        <v>638</v>
      </c>
      <c r="F1626" s="195" t="s">
        <v>396</v>
      </c>
      <c r="G1626" s="195" t="s">
        <v>688</v>
      </c>
    </row>
    <row r="1627" spans="1:7" hidden="1">
      <c r="A1627" s="194" t="s">
        <v>871</v>
      </c>
      <c r="B1627" s="195">
        <v>16500</v>
      </c>
      <c r="C1627" s="195">
        <v>0</v>
      </c>
      <c r="D1627" s="196" t="s">
        <v>440</v>
      </c>
      <c r="E1627" s="196" t="s">
        <v>638</v>
      </c>
      <c r="F1627" s="195" t="s">
        <v>409</v>
      </c>
      <c r="G1627" s="195" t="s">
        <v>688</v>
      </c>
    </row>
    <row r="1628" spans="1:7" hidden="1">
      <c r="A1628" s="194" t="s">
        <v>872</v>
      </c>
      <c r="B1628" s="195">
        <v>33200</v>
      </c>
      <c r="C1628" s="195">
        <v>0</v>
      </c>
      <c r="D1628" s="196" t="s">
        <v>440</v>
      </c>
      <c r="E1628" s="196" t="s">
        <v>638</v>
      </c>
      <c r="F1628" s="195" t="s">
        <v>652</v>
      </c>
      <c r="G1628" s="195" t="s">
        <v>688</v>
      </c>
    </row>
    <row r="1629" spans="1:7" hidden="1">
      <c r="A1629" s="194" t="s">
        <v>873</v>
      </c>
      <c r="B1629" s="195">
        <v>7200</v>
      </c>
      <c r="C1629" s="195">
        <v>0</v>
      </c>
      <c r="D1629" s="196" t="s">
        <v>442</v>
      </c>
      <c r="E1629" s="196" t="s">
        <v>638</v>
      </c>
      <c r="F1629" s="195" t="s">
        <v>396</v>
      </c>
      <c r="G1629" s="195" t="s">
        <v>688</v>
      </c>
    </row>
    <row r="1630" spans="1:7" hidden="1">
      <c r="A1630" s="194" t="s">
        <v>874</v>
      </c>
      <c r="B1630" s="195">
        <v>-45500</v>
      </c>
      <c r="C1630" s="195">
        <v>0</v>
      </c>
      <c r="D1630" s="196" t="s">
        <v>474</v>
      </c>
      <c r="E1630" s="196" t="s">
        <v>638</v>
      </c>
      <c r="F1630" s="195" t="s">
        <v>396</v>
      </c>
      <c r="G1630" s="195" t="s">
        <v>688</v>
      </c>
    </row>
    <row r="1631" spans="1:7" hidden="1">
      <c r="A1631" s="194" t="s">
        <v>875</v>
      </c>
      <c r="B1631" s="195">
        <v>6500</v>
      </c>
      <c r="C1631" s="195">
        <v>0</v>
      </c>
      <c r="D1631" s="196" t="s">
        <v>442</v>
      </c>
      <c r="E1631" s="196" t="s">
        <v>638</v>
      </c>
      <c r="F1631" s="195" t="s">
        <v>396</v>
      </c>
      <c r="G1631" s="195" t="s">
        <v>688</v>
      </c>
    </row>
    <row r="1632" spans="1:7" hidden="1">
      <c r="A1632" s="194" t="s">
        <v>876</v>
      </c>
      <c r="B1632" s="195">
        <v>138100</v>
      </c>
      <c r="C1632" s="195">
        <v>0</v>
      </c>
      <c r="D1632" s="196" t="s">
        <v>440</v>
      </c>
      <c r="E1632" s="196" t="s">
        <v>638</v>
      </c>
      <c r="F1632" s="195" t="s">
        <v>652</v>
      </c>
      <c r="G1632" s="195" t="s">
        <v>688</v>
      </c>
    </row>
    <row r="1633" spans="1:7" hidden="1">
      <c r="A1633" s="194" t="s">
        <v>877</v>
      </c>
      <c r="B1633" s="195">
        <v>3200</v>
      </c>
      <c r="C1633" s="195">
        <v>0</v>
      </c>
      <c r="D1633" s="196" t="s">
        <v>442</v>
      </c>
      <c r="E1633" s="196" t="s">
        <v>638</v>
      </c>
      <c r="F1633" s="195" t="s">
        <v>396</v>
      </c>
      <c r="G1633" s="195" t="s">
        <v>688</v>
      </c>
    </row>
    <row r="1634" spans="1:7" hidden="1">
      <c r="A1634" s="194" t="s">
        <v>878</v>
      </c>
      <c r="B1634" s="195">
        <v>77200</v>
      </c>
      <c r="C1634" s="195">
        <v>0</v>
      </c>
      <c r="D1634" s="196" t="s">
        <v>440</v>
      </c>
      <c r="E1634" s="196" t="s">
        <v>638</v>
      </c>
      <c r="F1634" s="195" t="s">
        <v>652</v>
      </c>
      <c r="G1634" s="195" t="s">
        <v>688</v>
      </c>
    </row>
    <row r="1635" spans="1:7" hidden="1">
      <c r="A1635" s="194" t="s">
        <v>879</v>
      </c>
      <c r="B1635" s="195">
        <v>8000</v>
      </c>
      <c r="C1635" s="195">
        <v>0</v>
      </c>
      <c r="D1635" s="196" t="s">
        <v>442</v>
      </c>
      <c r="E1635" s="196" t="s">
        <v>638</v>
      </c>
      <c r="F1635" s="195" t="s">
        <v>396</v>
      </c>
      <c r="G1635" s="195" t="s">
        <v>688</v>
      </c>
    </row>
    <row r="1636" spans="1:7" hidden="1">
      <c r="A1636" s="194" t="s">
        <v>880</v>
      </c>
      <c r="B1636" s="195">
        <v>48700</v>
      </c>
      <c r="C1636" s="195">
        <v>0</v>
      </c>
      <c r="D1636" s="196" t="s">
        <v>440</v>
      </c>
      <c r="E1636" s="196" t="s">
        <v>638</v>
      </c>
      <c r="F1636" s="195" t="s">
        <v>652</v>
      </c>
      <c r="G1636" s="195" t="s">
        <v>688</v>
      </c>
    </row>
    <row r="1637" spans="1:7" hidden="1">
      <c r="A1637" s="194" t="s">
        <v>881</v>
      </c>
      <c r="B1637" s="195">
        <v>101500</v>
      </c>
      <c r="C1637" s="195">
        <v>0</v>
      </c>
      <c r="D1637" s="196" t="s">
        <v>440</v>
      </c>
      <c r="E1637" s="196" t="s">
        <v>638</v>
      </c>
      <c r="F1637" s="195" t="s">
        <v>652</v>
      </c>
      <c r="G1637" s="195" t="s">
        <v>688</v>
      </c>
    </row>
    <row r="1638" spans="1:7" hidden="1">
      <c r="A1638" s="194" t="s">
        <v>882</v>
      </c>
      <c r="B1638" s="195">
        <v>-6500</v>
      </c>
      <c r="C1638" s="195">
        <v>0</v>
      </c>
      <c r="D1638" s="196" t="s">
        <v>474</v>
      </c>
      <c r="E1638" s="196" t="s">
        <v>638</v>
      </c>
      <c r="F1638" s="195" t="s">
        <v>396</v>
      </c>
      <c r="G1638" s="195" t="s">
        <v>688</v>
      </c>
    </row>
    <row r="1639" spans="1:7" hidden="1">
      <c r="A1639" s="194" t="s">
        <v>883</v>
      </c>
      <c r="B1639" s="195">
        <v>38200</v>
      </c>
      <c r="C1639" s="195">
        <v>0</v>
      </c>
      <c r="D1639" s="196" t="s">
        <v>440</v>
      </c>
      <c r="E1639" s="196" t="s">
        <v>638</v>
      </c>
      <c r="F1639" s="195" t="s">
        <v>652</v>
      </c>
      <c r="G1639" s="195" t="s">
        <v>688</v>
      </c>
    </row>
    <row r="1640" spans="1:7" hidden="1">
      <c r="A1640" s="194" t="s">
        <v>884</v>
      </c>
      <c r="B1640" s="195">
        <v>8700</v>
      </c>
      <c r="C1640" s="195">
        <v>0</v>
      </c>
      <c r="D1640" s="196" t="s">
        <v>442</v>
      </c>
      <c r="E1640" s="196" t="s">
        <v>638</v>
      </c>
      <c r="F1640" s="195" t="s">
        <v>396</v>
      </c>
      <c r="G1640" s="195" t="s">
        <v>688</v>
      </c>
    </row>
    <row r="1641" spans="1:7" hidden="1">
      <c r="A1641" s="194" t="s">
        <v>885</v>
      </c>
      <c r="B1641" s="195">
        <v>8600</v>
      </c>
      <c r="C1641" s="195">
        <v>0</v>
      </c>
      <c r="D1641" s="196" t="s">
        <v>442</v>
      </c>
      <c r="E1641" s="196" t="s">
        <v>638</v>
      </c>
      <c r="F1641" s="195" t="s">
        <v>396</v>
      </c>
      <c r="G1641" s="195" t="s">
        <v>688</v>
      </c>
    </row>
    <row r="1642" spans="1:7" hidden="1">
      <c r="A1642" s="194" t="s">
        <v>886</v>
      </c>
      <c r="B1642" s="195">
        <v>6500</v>
      </c>
      <c r="C1642" s="195">
        <v>0</v>
      </c>
      <c r="D1642" s="196" t="s">
        <v>442</v>
      </c>
      <c r="E1642" s="196" t="s">
        <v>638</v>
      </c>
      <c r="F1642" s="195" t="s">
        <v>396</v>
      </c>
      <c r="G1642" s="195" t="s">
        <v>688</v>
      </c>
    </row>
    <row r="1643" spans="1:7" hidden="1">
      <c r="A1643" s="194" t="s">
        <v>887</v>
      </c>
      <c r="B1643" s="195">
        <v>5600</v>
      </c>
      <c r="C1643" s="195">
        <v>0</v>
      </c>
      <c r="D1643" s="196" t="s">
        <v>442</v>
      </c>
      <c r="E1643" s="196" t="s">
        <v>638</v>
      </c>
      <c r="F1643" s="195" t="s">
        <v>396</v>
      </c>
      <c r="G1643" s="195" t="s">
        <v>688</v>
      </c>
    </row>
    <row r="1644" spans="1:7" hidden="1">
      <c r="A1644" s="194" t="s">
        <v>888</v>
      </c>
      <c r="B1644" s="195">
        <v>7900</v>
      </c>
      <c r="C1644" s="195">
        <v>0</v>
      </c>
      <c r="D1644" s="196" t="s">
        <v>442</v>
      </c>
      <c r="E1644" s="196" t="s">
        <v>638</v>
      </c>
      <c r="F1644" s="195" t="s">
        <v>396</v>
      </c>
      <c r="G1644" s="195" t="s">
        <v>688</v>
      </c>
    </row>
    <row r="1645" spans="1:7" hidden="1">
      <c r="A1645" s="194" t="s">
        <v>889</v>
      </c>
      <c r="B1645" s="195">
        <v>65500</v>
      </c>
      <c r="C1645" s="195">
        <v>0</v>
      </c>
      <c r="D1645" s="196" t="s">
        <v>440</v>
      </c>
      <c r="E1645" s="196" t="s">
        <v>638</v>
      </c>
      <c r="F1645" s="195" t="s">
        <v>652</v>
      </c>
      <c r="G1645" s="195" t="s">
        <v>688</v>
      </c>
    </row>
    <row r="1646" spans="1:7" hidden="1">
      <c r="A1646" s="194" t="s">
        <v>890</v>
      </c>
      <c r="B1646" s="195">
        <v>60000</v>
      </c>
      <c r="C1646" s="195">
        <v>0</v>
      </c>
      <c r="D1646" s="196" t="s">
        <v>440</v>
      </c>
      <c r="E1646" s="196" t="s">
        <v>638</v>
      </c>
      <c r="F1646" s="195" t="s">
        <v>652</v>
      </c>
      <c r="G1646" s="195" t="s">
        <v>688</v>
      </c>
    </row>
    <row r="1647" spans="1:7" hidden="1">
      <c r="A1647" s="194" t="s">
        <v>891</v>
      </c>
      <c r="B1647" s="195">
        <v>3960</v>
      </c>
      <c r="C1647" s="195">
        <v>0</v>
      </c>
      <c r="D1647" s="196" t="s">
        <v>440</v>
      </c>
      <c r="E1647" s="196" t="s">
        <v>638</v>
      </c>
      <c r="F1647" s="195" t="s">
        <v>652</v>
      </c>
      <c r="G1647" s="195" t="s">
        <v>688</v>
      </c>
    </row>
    <row r="1648" spans="1:7" hidden="1">
      <c r="A1648" s="194" t="s">
        <v>892</v>
      </c>
      <c r="B1648" s="195">
        <v>45600</v>
      </c>
      <c r="C1648" s="195">
        <v>0</v>
      </c>
      <c r="D1648" s="196" t="s">
        <v>440</v>
      </c>
      <c r="E1648" s="196" t="s">
        <v>638</v>
      </c>
      <c r="F1648" s="195" t="s">
        <v>652</v>
      </c>
      <c r="G1648" s="195" t="s">
        <v>688</v>
      </c>
    </row>
    <row r="1649" spans="1:7" hidden="1">
      <c r="A1649" s="194" t="s">
        <v>893</v>
      </c>
      <c r="B1649" s="195">
        <v>-34400</v>
      </c>
      <c r="C1649" s="195">
        <v>0</v>
      </c>
      <c r="D1649" s="196" t="s">
        <v>440</v>
      </c>
      <c r="E1649" s="196" t="s">
        <v>638</v>
      </c>
      <c r="F1649" s="195" t="s">
        <v>652</v>
      </c>
      <c r="G1649" s="195" t="s">
        <v>688</v>
      </c>
    </row>
    <row r="1650" spans="1:7" hidden="1">
      <c r="A1650" s="194" t="s">
        <v>894</v>
      </c>
      <c r="B1650" s="195">
        <v>3800</v>
      </c>
      <c r="C1650" s="195">
        <v>0</v>
      </c>
      <c r="D1650" s="196" t="s">
        <v>442</v>
      </c>
      <c r="E1650" s="196" t="s">
        <v>638</v>
      </c>
      <c r="F1650" s="195" t="s">
        <v>396</v>
      </c>
      <c r="G1650" s="195" t="s">
        <v>688</v>
      </c>
    </row>
    <row r="1651" spans="1:7" hidden="1">
      <c r="A1651" s="194" t="s">
        <v>895</v>
      </c>
      <c r="B1651" s="195">
        <v>-51800</v>
      </c>
      <c r="C1651" s="195">
        <v>0</v>
      </c>
      <c r="D1651" s="196" t="s">
        <v>440</v>
      </c>
      <c r="E1651" s="196" t="s">
        <v>638</v>
      </c>
      <c r="F1651" s="195" t="s">
        <v>652</v>
      </c>
      <c r="G1651" s="195" t="s">
        <v>688</v>
      </c>
    </row>
    <row r="1652" spans="1:7" hidden="1">
      <c r="A1652" s="194" t="s">
        <v>896</v>
      </c>
      <c r="B1652" s="195">
        <v>-6400</v>
      </c>
      <c r="C1652" s="195">
        <v>0</v>
      </c>
      <c r="D1652" s="196" t="s">
        <v>442</v>
      </c>
      <c r="E1652" s="196" t="s">
        <v>638</v>
      </c>
      <c r="F1652" s="195" t="s">
        <v>396</v>
      </c>
      <c r="G1652" s="195" t="s">
        <v>688</v>
      </c>
    </row>
    <row r="1653" spans="1:7" hidden="1">
      <c r="A1653" s="194" t="s">
        <v>897</v>
      </c>
      <c r="B1653" s="195">
        <v>6700</v>
      </c>
      <c r="C1653" s="195">
        <v>0</v>
      </c>
      <c r="D1653" s="196" t="s">
        <v>440</v>
      </c>
      <c r="E1653" s="196" t="s">
        <v>638</v>
      </c>
      <c r="F1653" s="195" t="s">
        <v>652</v>
      </c>
      <c r="G1653" s="195" t="s">
        <v>688</v>
      </c>
    </row>
    <row r="1654" spans="1:7" hidden="1">
      <c r="A1654" s="194" t="s">
        <v>898</v>
      </c>
      <c r="B1654" s="195">
        <v>105600</v>
      </c>
      <c r="C1654" s="195">
        <v>0</v>
      </c>
      <c r="D1654" s="196" t="s">
        <v>440</v>
      </c>
      <c r="E1654" s="196" t="s">
        <v>638</v>
      </c>
      <c r="F1654" s="195" t="s">
        <v>652</v>
      </c>
      <c r="G1654" s="195" t="s">
        <v>688</v>
      </c>
    </row>
    <row r="1655" spans="1:7" hidden="1">
      <c r="A1655" s="194" t="s">
        <v>899</v>
      </c>
      <c r="B1655" s="195">
        <v>223178</v>
      </c>
      <c r="C1655" s="195">
        <v>0</v>
      </c>
      <c r="D1655" s="196" t="s">
        <v>440</v>
      </c>
      <c r="E1655" s="196" t="s">
        <v>638</v>
      </c>
      <c r="F1655" s="195" t="s">
        <v>652</v>
      </c>
      <c r="G1655" s="195" t="s">
        <v>688</v>
      </c>
    </row>
    <row r="1656" spans="1:7" hidden="1">
      <c r="A1656" s="194" t="s">
        <v>900</v>
      </c>
      <c r="B1656" s="195">
        <v>71700</v>
      </c>
      <c r="C1656" s="195">
        <v>0</v>
      </c>
      <c r="D1656" s="196" t="s">
        <v>440</v>
      </c>
      <c r="E1656" s="196" t="s">
        <v>638</v>
      </c>
      <c r="F1656" s="195" t="s">
        <v>652</v>
      </c>
      <c r="G1656" s="195" t="s">
        <v>688</v>
      </c>
    </row>
    <row r="1657" spans="1:7" hidden="1">
      <c r="A1657" s="194" t="s">
        <v>901</v>
      </c>
      <c r="B1657" s="195">
        <v>58100</v>
      </c>
      <c r="C1657" s="195">
        <v>0</v>
      </c>
      <c r="D1657" s="196" t="s">
        <v>440</v>
      </c>
      <c r="E1657" s="196" t="s">
        <v>638</v>
      </c>
      <c r="F1657" s="195" t="s">
        <v>652</v>
      </c>
      <c r="G1657" s="195" t="s">
        <v>688</v>
      </c>
    </row>
    <row r="1658" spans="1:7" hidden="1">
      <c r="A1658" s="194" t="s">
        <v>902</v>
      </c>
      <c r="B1658" s="195">
        <v>32600</v>
      </c>
      <c r="C1658" s="195">
        <v>0</v>
      </c>
      <c r="D1658" s="196" t="s">
        <v>440</v>
      </c>
      <c r="E1658" s="196" t="s">
        <v>638</v>
      </c>
      <c r="F1658" s="195" t="s">
        <v>652</v>
      </c>
      <c r="G1658" s="195" t="s">
        <v>688</v>
      </c>
    </row>
    <row r="1659" spans="1:7" hidden="1">
      <c r="A1659" s="194" t="s">
        <v>903</v>
      </c>
      <c r="B1659" s="195">
        <v>17500</v>
      </c>
      <c r="C1659" s="195">
        <v>0</v>
      </c>
      <c r="D1659" s="196" t="s">
        <v>442</v>
      </c>
      <c r="E1659" s="196" t="s">
        <v>638</v>
      </c>
      <c r="F1659" s="195" t="s">
        <v>396</v>
      </c>
      <c r="G1659" s="195" t="s">
        <v>688</v>
      </c>
    </row>
    <row r="1660" spans="1:7" hidden="1">
      <c r="A1660" s="194" t="s">
        <v>904</v>
      </c>
      <c r="B1660" s="195">
        <v>86400</v>
      </c>
      <c r="C1660" s="195">
        <v>0</v>
      </c>
      <c r="D1660" s="196" t="s">
        <v>440</v>
      </c>
      <c r="E1660" s="196" t="s">
        <v>638</v>
      </c>
      <c r="F1660" s="195" t="s">
        <v>652</v>
      </c>
      <c r="G1660" s="195" t="s">
        <v>688</v>
      </c>
    </row>
    <row r="1661" spans="1:7" hidden="1">
      <c r="A1661" s="194" t="s">
        <v>905</v>
      </c>
      <c r="B1661" s="195">
        <v>9000</v>
      </c>
      <c r="C1661" s="195">
        <v>0</v>
      </c>
      <c r="D1661" s="196" t="s">
        <v>442</v>
      </c>
      <c r="E1661" s="196" t="s">
        <v>638</v>
      </c>
      <c r="F1661" s="195" t="s">
        <v>396</v>
      </c>
      <c r="G1661" s="195" t="s">
        <v>688</v>
      </c>
    </row>
    <row r="1662" spans="1:7" hidden="1">
      <c r="A1662" s="194" t="s">
        <v>906</v>
      </c>
      <c r="B1662" s="195">
        <v>13400</v>
      </c>
      <c r="C1662" s="195">
        <v>0</v>
      </c>
      <c r="D1662" s="196" t="s">
        <v>442</v>
      </c>
      <c r="E1662" s="196" t="s">
        <v>638</v>
      </c>
      <c r="F1662" s="195" t="s">
        <v>396</v>
      </c>
      <c r="G1662" s="195" t="s">
        <v>688</v>
      </c>
    </row>
    <row r="1663" spans="1:7" hidden="1">
      <c r="A1663" s="194" t="s">
        <v>907</v>
      </c>
      <c r="B1663" s="195">
        <v>55600</v>
      </c>
      <c r="C1663" s="195">
        <v>0</v>
      </c>
      <c r="D1663" s="196" t="s">
        <v>440</v>
      </c>
      <c r="E1663" s="196" t="s">
        <v>638</v>
      </c>
      <c r="F1663" s="195" t="s">
        <v>652</v>
      </c>
      <c r="G1663" s="195" t="s">
        <v>688</v>
      </c>
    </row>
    <row r="1664" spans="1:7" hidden="1">
      <c r="A1664" s="194" t="s">
        <v>908</v>
      </c>
      <c r="B1664" s="195">
        <v>75200</v>
      </c>
      <c r="C1664" s="195">
        <v>0</v>
      </c>
      <c r="D1664" s="196" t="s">
        <v>440</v>
      </c>
      <c r="E1664" s="196" t="s">
        <v>638</v>
      </c>
      <c r="F1664" s="195" t="s">
        <v>652</v>
      </c>
      <c r="G1664" s="195" t="s">
        <v>688</v>
      </c>
    </row>
    <row r="1665" spans="1:7" hidden="1">
      <c r="A1665" s="194" t="s">
        <v>909</v>
      </c>
      <c r="B1665" s="195">
        <v>89600</v>
      </c>
      <c r="C1665" s="195">
        <v>0</v>
      </c>
      <c r="D1665" s="196" t="s">
        <v>442</v>
      </c>
      <c r="E1665" s="196" t="s">
        <v>638</v>
      </c>
      <c r="F1665" s="195" t="s">
        <v>396</v>
      </c>
      <c r="G1665" s="195" t="s">
        <v>688</v>
      </c>
    </row>
    <row r="1666" spans="1:7" hidden="1">
      <c r="A1666" s="194" t="s">
        <v>910</v>
      </c>
      <c r="B1666" s="195">
        <v>7800</v>
      </c>
      <c r="C1666" s="195">
        <v>0</v>
      </c>
      <c r="D1666" s="196" t="s">
        <v>442</v>
      </c>
      <c r="E1666" s="196" t="s">
        <v>638</v>
      </c>
      <c r="F1666" s="195" t="s">
        <v>396</v>
      </c>
      <c r="G1666" s="195" t="s">
        <v>688</v>
      </c>
    </row>
    <row r="1667" spans="1:7" hidden="1">
      <c r="A1667" s="197" t="s">
        <v>911</v>
      </c>
      <c r="B1667" s="198">
        <v>2800</v>
      </c>
      <c r="C1667" s="198">
        <v>0</v>
      </c>
      <c r="D1667" s="197" t="s">
        <v>442</v>
      </c>
      <c r="E1667" s="197" t="s">
        <v>638</v>
      </c>
      <c r="F1667" s="197" t="s">
        <v>396</v>
      </c>
      <c r="G1667" s="197" t="s">
        <v>688</v>
      </c>
    </row>
    <row r="1668" spans="1:7" hidden="1">
      <c r="A1668" s="197" t="s">
        <v>912</v>
      </c>
      <c r="B1668" s="198">
        <v>220200</v>
      </c>
      <c r="C1668" s="198">
        <v>0</v>
      </c>
      <c r="D1668" s="197" t="s">
        <v>440</v>
      </c>
      <c r="E1668" s="197" t="s">
        <v>638</v>
      </c>
      <c r="F1668" s="197" t="s">
        <v>652</v>
      </c>
      <c r="G1668" s="197" t="s">
        <v>688</v>
      </c>
    </row>
    <row r="1669" spans="1:7" hidden="1">
      <c r="A1669" s="197" t="s">
        <v>913</v>
      </c>
      <c r="B1669" s="198">
        <v>366900</v>
      </c>
      <c r="C1669" s="198">
        <v>0</v>
      </c>
      <c r="D1669" s="197" t="s">
        <v>440</v>
      </c>
      <c r="E1669" s="197" t="s">
        <v>638</v>
      </c>
      <c r="F1669" s="197" t="s">
        <v>652</v>
      </c>
      <c r="G1669" s="197" t="s">
        <v>688</v>
      </c>
    </row>
    <row r="1670" spans="1:7" hidden="1">
      <c r="A1670" s="197" t="s">
        <v>914</v>
      </c>
      <c r="B1670" s="198">
        <v>3000</v>
      </c>
      <c r="C1670" s="198">
        <v>0</v>
      </c>
      <c r="D1670" s="197" t="s">
        <v>442</v>
      </c>
      <c r="E1670" s="197" t="s">
        <v>638</v>
      </c>
      <c r="F1670" s="197" t="s">
        <v>396</v>
      </c>
      <c r="G1670" s="197" t="s">
        <v>688</v>
      </c>
    </row>
    <row r="1671" spans="1:7" hidden="1">
      <c r="A1671" s="197" t="s">
        <v>915</v>
      </c>
      <c r="B1671" s="198">
        <v>9000</v>
      </c>
      <c r="C1671" s="198">
        <v>0</v>
      </c>
      <c r="D1671" s="197" t="s">
        <v>442</v>
      </c>
      <c r="E1671" s="197" t="s">
        <v>638</v>
      </c>
      <c r="F1671" s="197" t="s">
        <v>396</v>
      </c>
      <c r="G1671" s="197" t="s">
        <v>688</v>
      </c>
    </row>
    <row r="1672" spans="1:7" hidden="1">
      <c r="A1672" s="197" t="s">
        <v>916</v>
      </c>
      <c r="B1672" s="198">
        <v>83300</v>
      </c>
      <c r="C1672" s="198">
        <v>0</v>
      </c>
      <c r="D1672" s="197" t="s">
        <v>440</v>
      </c>
      <c r="E1672" s="197" t="s">
        <v>638</v>
      </c>
      <c r="F1672" s="197" t="s">
        <v>652</v>
      </c>
      <c r="G1672" s="197" t="s">
        <v>688</v>
      </c>
    </row>
    <row r="1673" spans="1:7" hidden="1">
      <c r="A1673" s="197" t="s">
        <v>917</v>
      </c>
      <c r="B1673" s="198">
        <v>159300</v>
      </c>
      <c r="C1673" s="198">
        <v>0</v>
      </c>
      <c r="D1673" s="197" t="s">
        <v>440</v>
      </c>
      <c r="E1673" s="197" t="s">
        <v>638</v>
      </c>
      <c r="F1673" s="197" t="s">
        <v>652</v>
      </c>
      <c r="G1673" s="197" t="s">
        <v>688</v>
      </c>
    </row>
    <row r="1674" spans="1:7" hidden="1">
      <c r="A1674" s="197" t="s">
        <v>918</v>
      </c>
      <c r="B1674" s="198">
        <v>4600</v>
      </c>
      <c r="C1674" s="198">
        <v>0</v>
      </c>
      <c r="D1674" s="197" t="s">
        <v>442</v>
      </c>
      <c r="E1674" s="197" t="s">
        <v>638</v>
      </c>
      <c r="F1674" s="197" t="s">
        <v>396</v>
      </c>
      <c r="G1674" s="197" t="s">
        <v>688</v>
      </c>
    </row>
    <row r="1675" spans="1:7" hidden="1">
      <c r="A1675" s="197" t="s">
        <v>919</v>
      </c>
      <c r="B1675" s="198">
        <v>8100</v>
      </c>
      <c r="C1675" s="198">
        <v>0</v>
      </c>
      <c r="D1675" s="197" t="s">
        <v>442</v>
      </c>
      <c r="E1675" s="197" t="s">
        <v>638</v>
      </c>
      <c r="F1675" s="197" t="s">
        <v>396</v>
      </c>
      <c r="G1675" s="197" t="s">
        <v>688</v>
      </c>
    </row>
    <row r="1676" spans="1:7" hidden="1">
      <c r="A1676" s="197" t="s">
        <v>920</v>
      </c>
      <c r="B1676" s="198">
        <v>35700</v>
      </c>
      <c r="C1676" s="198">
        <v>0</v>
      </c>
      <c r="D1676" s="197" t="s">
        <v>440</v>
      </c>
      <c r="E1676" s="197" t="s">
        <v>638</v>
      </c>
      <c r="F1676" s="197" t="s">
        <v>652</v>
      </c>
      <c r="G1676" s="197" t="s">
        <v>688</v>
      </c>
    </row>
    <row r="1677" spans="1:7" hidden="1">
      <c r="A1677" s="197" t="s">
        <v>921</v>
      </c>
      <c r="B1677" s="198">
        <v>41000</v>
      </c>
      <c r="C1677" s="198">
        <v>0</v>
      </c>
      <c r="D1677" s="197" t="s">
        <v>440</v>
      </c>
      <c r="E1677" s="197" t="s">
        <v>638</v>
      </c>
      <c r="F1677" s="197" t="s">
        <v>652</v>
      </c>
      <c r="G1677" s="197" t="s">
        <v>688</v>
      </c>
    </row>
    <row r="1678" spans="1:7" hidden="1">
      <c r="A1678" s="197" t="s">
        <v>922</v>
      </c>
      <c r="B1678" s="198">
        <v>119100</v>
      </c>
      <c r="C1678" s="198">
        <v>0</v>
      </c>
      <c r="D1678" s="197" t="s">
        <v>440</v>
      </c>
      <c r="E1678" s="197" t="s">
        <v>638</v>
      </c>
      <c r="F1678" s="197" t="s">
        <v>652</v>
      </c>
      <c r="G1678" s="197" t="s">
        <v>688</v>
      </c>
    </row>
    <row r="1679" spans="1:7" hidden="1">
      <c r="A1679" s="197" t="s">
        <v>923</v>
      </c>
      <c r="B1679" s="198">
        <v>21000</v>
      </c>
      <c r="C1679" s="198">
        <v>0</v>
      </c>
      <c r="D1679" s="197" t="s">
        <v>440</v>
      </c>
      <c r="E1679" s="197" t="s">
        <v>638</v>
      </c>
      <c r="F1679" s="197" t="s">
        <v>652</v>
      </c>
      <c r="G1679" s="197" t="s">
        <v>688</v>
      </c>
    </row>
    <row r="1680" spans="1:7" hidden="1">
      <c r="A1680" s="197" t="s">
        <v>924</v>
      </c>
      <c r="B1680" s="198">
        <v>52300</v>
      </c>
      <c r="C1680" s="198">
        <v>0</v>
      </c>
      <c r="D1680" s="197" t="s">
        <v>440</v>
      </c>
      <c r="E1680" s="197" t="s">
        <v>638</v>
      </c>
      <c r="F1680" s="197" t="s">
        <v>652</v>
      </c>
      <c r="G1680" s="197" t="s">
        <v>688</v>
      </c>
    </row>
    <row r="1681" spans="1:7" hidden="1">
      <c r="A1681" s="197" t="s">
        <v>925</v>
      </c>
      <c r="B1681" s="198">
        <v>8900</v>
      </c>
      <c r="C1681" s="198">
        <v>0</v>
      </c>
      <c r="D1681" s="197" t="s">
        <v>442</v>
      </c>
      <c r="E1681" s="197" t="s">
        <v>638</v>
      </c>
      <c r="F1681" s="197" t="s">
        <v>396</v>
      </c>
      <c r="G1681" s="197" t="s">
        <v>688</v>
      </c>
    </row>
    <row r="1682" spans="1:7" hidden="1">
      <c r="A1682" s="197" t="s">
        <v>926</v>
      </c>
      <c r="B1682" s="198">
        <v>102600</v>
      </c>
      <c r="C1682" s="198">
        <v>0</v>
      </c>
      <c r="D1682" s="197" t="s">
        <v>440</v>
      </c>
      <c r="E1682" s="197" t="s">
        <v>638</v>
      </c>
      <c r="F1682" s="197" t="s">
        <v>652</v>
      </c>
      <c r="G1682" s="197" t="s">
        <v>688</v>
      </c>
    </row>
    <row r="1683" spans="1:7" hidden="1">
      <c r="A1683" s="197" t="s">
        <v>927</v>
      </c>
      <c r="B1683" s="198">
        <v>42500</v>
      </c>
      <c r="C1683" s="198">
        <v>0</v>
      </c>
      <c r="D1683" s="197" t="s">
        <v>440</v>
      </c>
      <c r="E1683" s="197" t="s">
        <v>638</v>
      </c>
      <c r="F1683" s="197" t="s">
        <v>652</v>
      </c>
      <c r="G1683" s="197" t="s">
        <v>688</v>
      </c>
    </row>
    <row r="1684" spans="1:7" hidden="1">
      <c r="A1684" s="197" t="s">
        <v>928</v>
      </c>
      <c r="B1684" s="198">
        <v>84800</v>
      </c>
      <c r="C1684" s="198">
        <v>0</v>
      </c>
      <c r="D1684" s="197" t="s">
        <v>440</v>
      </c>
      <c r="E1684" s="197" t="s">
        <v>638</v>
      </c>
      <c r="F1684" s="197" t="s">
        <v>652</v>
      </c>
      <c r="G1684" s="197" t="s">
        <v>688</v>
      </c>
    </row>
    <row r="1685" spans="1:7" hidden="1">
      <c r="A1685" s="197" t="s">
        <v>929</v>
      </c>
      <c r="B1685" s="198">
        <v>50900</v>
      </c>
      <c r="C1685" s="198">
        <v>0</v>
      </c>
      <c r="D1685" s="197" t="s">
        <v>440</v>
      </c>
      <c r="E1685" s="197" t="s">
        <v>638</v>
      </c>
      <c r="F1685" s="197" t="s">
        <v>652</v>
      </c>
      <c r="G1685" s="197" t="s">
        <v>688</v>
      </c>
    </row>
    <row r="1686" spans="1:7" hidden="1">
      <c r="A1686" s="197" t="s">
        <v>930</v>
      </c>
      <c r="B1686" s="198">
        <v>10800</v>
      </c>
      <c r="C1686" s="198">
        <v>0</v>
      </c>
      <c r="D1686" s="197" t="s">
        <v>442</v>
      </c>
      <c r="E1686" s="197" t="s">
        <v>638</v>
      </c>
      <c r="F1686" s="197" t="s">
        <v>396</v>
      </c>
      <c r="G1686" s="197" t="s">
        <v>688</v>
      </c>
    </row>
    <row r="1687" spans="1:7" hidden="1">
      <c r="A1687" s="197" t="s">
        <v>931</v>
      </c>
      <c r="B1687" s="198">
        <v>71600</v>
      </c>
      <c r="C1687" s="198">
        <v>0</v>
      </c>
      <c r="D1687" s="197" t="s">
        <v>440</v>
      </c>
      <c r="E1687" s="197" t="s">
        <v>638</v>
      </c>
      <c r="F1687" s="197" t="s">
        <v>409</v>
      </c>
      <c r="G1687" s="197" t="s">
        <v>688</v>
      </c>
    </row>
    <row r="1688" spans="1:7" hidden="1">
      <c r="A1688" s="197" t="s">
        <v>932</v>
      </c>
      <c r="B1688" s="198">
        <v>135500</v>
      </c>
      <c r="C1688" s="198">
        <v>0</v>
      </c>
      <c r="D1688" s="197" t="s">
        <v>440</v>
      </c>
      <c r="E1688" s="197" t="s">
        <v>638</v>
      </c>
      <c r="F1688" s="197" t="s">
        <v>652</v>
      </c>
      <c r="G1688" s="197" t="s">
        <v>688</v>
      </c>
    </row>
    <row r="1689" spans="1:7" hidden="1">
      <c r="A1689" s="197" t="s">
        <v>933</v>
      </c>
      <c r="B1689" s="198">
        <v>51600</v>
      </c>
      <c r="C1689" s="198">
        <v>0</v>
      </c>
      <c r="D1689" s="197" t="s">
        <v>442</v>
      </c>
      <c r="E1689" s="197" t="s">
        <v>638</v>
      </c>
      <c r="F1689" s="197" t="s">
        <v>396</v>
      </c>
      <c r="G1689" s="197" t="s">
        <v>688</v>
      </c>
    </row>
    <row r="1690" spans="1:7" hidden="1">
      <c r="A1690" s="197" t="s">
        <v>934</v>
      </c>
      <c r="B1690" s="198">
        <v>37500</v>
      </c>
      <c r="C1690" s="198">
        <v>0</v>
      </c>
      <c r="D1690" s="197" t="s">
        <v>440</v>
      </c>
      <c r="E1690" s="197" t="s">
        <v>638</v>
      </c>
      <c r="F1690" s="197" t="s">
        <v>652</v>
      </c>
      <c r="G1690" s="197" t="s">
        <v>688</v>
      </c>
    </row>
    <row r="1691" spans="1:7" hidden="1">
      <c r="A1691" s="197" t="s">
        <v>935</v>
      </c>
      <c r="B1691" s="198">
        <v>30700</v>
      </c>
      <c r="C1691" s="198">
        <v>0</v>
      </c>
      <c r="D1691" s="197" t="s">
        <v>440</v>
      </c>
      <c r="E1691" s="197" t="s">
        <v>638</v>
      </c>
      <c r="F1691" s="197" t="s">
        <v>409</v>
      </c>
      <c r="G1691" s="197" t="s">
        <v>688</v>
      </c>
    </row>
    <row r="1692" spans="1:7" hidden="1">
      <c r="A1692" s="197" t="s">
        <v>936</v>
      </c>
      <c r="B1692" s="198">
        <v>100800</v>
      </c>
      <c r="C1692" s="198">
        <v>0</v>
      </c>
      <c r="D1692" s="197" t="s">
        <v>440</v>
      </c>
      <c r="E1692" s="197" t="s">
        <v>638</v>
      </c>
      <c r="F1692" s="197" t="s">
        <v>652</v>
      </c>
      <c r="G1692" s="197" t="s">
        <v>688</v>
      </c>
    </row>
    <row r="1693" spans="1:7" hidden="1">
      <c r="A1693" s="197" t="s">
        <v>937</v>
      </c>
      <c r="B1693" s="198">
        <v>-146800</v>
      </c>
      <c r="C1693" s="198">
        <v>0</v>
      </c>
      <c r="D1693" s="197" t="s">
        <v>440</v>
      </c>
      <c r="E1693" s="197" t="s">
        <v>638</v>
      </c>
      <c r="F1693" s="197" t="s">
        <v>652</v>
      </c>
      <c r="G1693" s="197" t="s">
        <v>688</v>
      </c>
    </row>
    <row r="1694" spans="1:7" hidden="1">
      <c r="A1694" s="197" t="s">
        <v>938</v>
      </c>
      <c r="B1694" s="198">
        <v>-134300</v>
      </c>
      <c r="C1694" s="198">
        <v>0</v>
      </c>
      <c r="D1694" s="197" t="s">
        <v>440</v>
      </c>
      <c r="E1694" s="197" t="s">
        <v>638</v>
      </c>
      <c r="F1694" s="197" t="s">
        <v>652</v>
      </c>
      <c r="G1694" s="197" t="s">
        <v>688</v>
      </c>
    </row>
    <row r="1695" spans="1:7" hidden="1">
      <c r="A1695" s="197" t="s">
        <v>939</v>
      </c>
      <c r="B1695" s="198">
        <v>-13000</v>
      </c>
      <c r="C1695" s="198">
        <v>0</v>
      </c>
      <c r="D1695" s="197" t="s">
        <v>442</v>
      </c>
      <c r="E1695" s="197" t="s">
        <v>638</v>
      </c>
      <c r="F1695" s="197" t="s">
        <v>396</v>
      </c>
      <c r="G1695" s="197" t="s">
        <v>688</v>
      </c>
    </row>
    <row r="1696" spans="1:7" hidden="1">
      <c r="A1696" s="197" t="s">
        <v>940</v>
      </c>
      <c r="B1696" s="198">
        <v>-74500</v>
      </c>
      <c r="C1696" s="198">
        <v>0</v>
      </c>
      <c r="D1696" s="197" t="s">
        <v>440</v>
      </c>
      <c r="E1696" s="197" t="s">
        <v>638</v>
      </c>
      <c r="F1696" s="197" t="s">
        <v>652</v>
      </c>
      <c r="G1696" s="197" t="s">
        <v>688</v>
      </c>
    </row>
    <row r="1697" spans="1:7" hidden="1">
      <c r="A1697" s="197" t="s">
        <v>941</v>
      </c>
      <c r="B1697" s="198">
        <v>-71100</v>
      </c>
      <c r="C1697" s="198">
        <v>0</v>
      </c>
      <c r="D1697" s="197" t="s">
        <v>440</v>
      </c>
      <c r="E1697" s="197" t="s">
        <v>638</v>
      </c>
      <c r="F1697" s="197" t="s">
        <v>652</v>
      </c>
      <c r="G1697" s="197" t="s">
        <v>688</v>
      </c>
    </row>
    <row r="1698" spans="1:7" hidden="1">
      <c r="A1698" s="197" t="s">
        <v>942</v>
      </c>
      <c r="B1698" s="198">
        <v>-101500</v>
      </c>
      <c r="C1698" s="198">
        <v>0</v>
      </c>
      <c r="D1698" s="197" t="s">
        <v>440</v>
      </c>
      <c r="E1698" s="197" t="s">
        <v>638</v>
      </c>
      <c r="F1698" s="197" t="s">
        <v>409</v>
      </c>
      <c r="G1698" s="197" t="s">
        <v>688</v>
      </c>
    </row>
    <row r="1699" spans="1:7" hidden="1">
      <c r="A1699" s="197" t="s">
        <v>943</v>
      </c>
      <c r="B1699" s="198">
        <v>2800</v>
      </c>
      <c r="C1699" s="198">
        <v>0</v>
      </c>
      <c r="D1699" s="197" t="s">
        <v>442</v>
      </c>
      <c r="E1699" s="197" t="s">
        <v>638</v>
      </c>
      <c r="F1699" s="197" t="s">
        <v>396</v>
      </c>
      <c r="G1699" s="197" t="s">
        <v>688</v>
      </c>
    </row>
    <row r="1700" spans="1:7" hidden="1">
      <c r="A1700" s="197" t="s">
        <v>944</v>
      </c>
      <c r="B1700" s="198">
        <v>2800</v>
      </c>
      <c r="C1700" s="198">
        <v>0</v>
      </c>
      <c r="D1700" s="197" t="s">
        <v>442</v>
      </c>
      <c r="E1700" s="197" t="s">
        <v>638</v>
      </c>
      <c r="F1700" s="197" t="s">
        <v>396</v>
      </c>
      <c r="G1700" s="197" t="s">
        <v>688</v>
      </c>
    </row>
    <row r="1701" spans="1:7" hidden="1">
      <c r="A1701" s="197" t="s">
        <v>945</v>
      </c>
      <c r="B1701" s="198">
        <v>-39700</v>
      </c>
      <c r="C1701" s="198">
        <v>0</v>
      </c>
      <c r="D1701" s="197" t="s">
        <v>442</v>
      </c>
      <c r="E1701" s="197" t="s">
        <v>638</v>
      </c>
      <c r="F1701" s="197" t="s">
        <v>396</v>
      </c>
      <c r="G1701" s="197" t="s">
        <v>688</v>
      </c>
    </row>
    <row r="1702" spans="1:7" hidden="1">
      <c r="A1702" s="197" t="s">
        <v>946</v>
      </c>
      <c r="B1702" s="198">
        <v>-89700</v>
      </c>
      <c r="C1702" s="198">
        <v>0</v>
      </c>
      <c r="D1702" s="197" t="s">
        <v>440</v>
      </c>
      <c r="E1702" s="197" t="s">
        <v>638</v>
      </c>
      <c r="F1702" s="197" t="s">
        <v>652</v>
      </c>
      <c r="G1702" s="197" t="s">
        <v>688</v>
      </c>
    </row>
    <row r="1703" spans="1:7" hidden="1">
      <c r="A1703" s="197" t="s">
        <v>947</v>
      </c>
      <c r="B1703" s="198">
        <v>-12300</v>
      </c>
      <c r="C1703" s="198">
        <v>0</v>
      </c>
      <c r="D1703" s="197" t="s">
        <v>442</v>
      </c>
      <c r="E1703" s="197" t="s">
        <v>638</v>
      </c>
      <c r="F1703" s="197" t="s">
        <v>396</v>
      </c>
      <c r="G1703" s="197" t="s">
        <v>688</v>
      </c>
    </row>
    <row r="1704" spans="1:7" hidden="1">
      <c r="A1704" s="197" t="s">
        <v>948</v>
      </c>
      <c r="B1704" s="198">
        <v>-35000</v>
      </c>
      <c r="C1704" s="198">
        <v>0</v>
      </c>
      <c r="D1704" s="197" t="s">
        <v>440</v>
      </c>
      <c r="E1704" s="197" t="s">
        <v>638</v>
      </c>
      <c r="F1704" s="197" t="s">
        <v>409</v>
      </c>
      <c r="G1704" s="197" t="s">
        <v>688</v>
      </c>
    </row>
    <row r="1705" spans="1:7" hidden="1">
      <c r="A1705" s="197" t="s">
        <v>949</v>
      </c>
      <c r="B1705" s="198">
        <v>9900</v>
      </c>
      <c r="C1705" s="198">
        <v>0</v>
      </c>
      <c r="D1705" s="197" t="s">
        <v>440</v>
      </c>
      <c r="E1705" s="197" t="s">
        <v>638</v>
      </c>
      <c r="F1705" s="197" t="s">
        <v>652</v>
      </c>
      <c r="G1705" s="197" t="s">
        <v>688</v>
      </c>
    </row>
    <row r="1706" spans="1:7" hidden="1">
      <c r="A1706" s="197" t="s">
        <v>950</v>
      </c>
      <c r="B1706" s="198">
        <v>-9100</v>
      </c>
      <c r="C1706" s="198">
        <v>0</v>
      </c>
      <c r="D1706" s="197" t="s">
        <v>442</v>
      </c>
      <c r="E1706" s="197" t="s">
        <v>638</v>
      </c>
      <c r="F1706" s="197" t="s">
        <v>396</v>
      </c>
      <c r="G1706" s="197" t="s">
        <v>688</v>
      </c>
    </row>
    <row r="1707" spans="1:7" hidden="1">
      <c r="A1707" s="197" t="s">
        <v>951</v>
      </c>
      <c r="B1707" s="198">
        <v>42400</v>
      </c>
      <c r="C1707" s="198">
        <v>0</v>
      </c>
      <c r="D1707" s="197" t="s">
        <v>440</v>
      </c>
      <c r="E1707" s="197" t="s">
        <v>638</v>
      </c>
      <c r="F1707" s="197" t="s">
        <v>652</v>
      </c>
      <c r="G1707" s="197" t="s">
        <v>688</v>
      </c>
    </row>
    <row r="1708" spans="1:7" hidden="1">
      <c r="A1708" s="197" t="s">
        <v>952</v>
      </c>
      <c r="B1708" s="198">
        <v>12700</v>
      </c>
      <c r="C1708" s="198">
        <v>0</v>
      </c>
      <c r="D1708" s="197" t="s">
        <v>440</v>
      </c>
      <c r="E1708" s="197" t="s">
        <v>638</v>
      </c>
      <c r="F1708" s="197" t="s">
        <v>652</v>
      </c>
      <c r="G1708" s="197" t="s">
        <v>688</v>
      </c>
    </row>
    <row r="1709" spans="1:7" hidden="1">
      <c r="A1709" s="197" t="s">
        <v>953</v>
      </c>
      <c r="B1709" s="198">
        <v>3300</v>
      </c>
      <c r="C1709" s="198">
        <v>0</v>
      </c>
      <c r="D1709" s="197" t="s">
        <v>442</v>
      </c>
      <c r="E1709" s="197" t="s">
        <v>638</v>
      </c>
      <c r="F1709" s="197" t="s">
        <v>396</v>
      </c>
      <c r="G1709" s="197" t="s">
        <v>688</v>
      </c>
    </row>
    <row r="1710" spans="1:7" hidden="1">
      <c r="A1710" s="197" t="s">
        <v>954</v>
      </c>
      <c r="B1710" s="198">
        <v>2000</v>
      </c>
      <c r="C1710" s="198">
        <v>0</v>
      </c>
      <c r="D1710" s="197" t="s">
        <v>442</v>
      </c>
      <c r="E1710" s="197" t="s">
        <v>638</v>
      </c>
      <c r="F1710" s="197" t="s">
        <v>396</v>
      </c>
      <c r="G1710" s="197" t="s">
        <v>688</v>
      </c>
    </row>
    <row r="1711" spans="1:7" hidden="1">
      <c r="A1711" s="197" t="s">
        <v>955</v>
      </c>
      <c r="B1711" s="198">
        <v>5100</v>
      </c>
      <c r="C1711" s="198">
        <v>0</v>
      </c>
      <c r="D1711" s="197" t="s">
        <v>442</v>
      </c>
      <c r="E1711" s="197" t="s">
        <v>638</v>
      </c>
      <c r="F1711" s="197" t="s">
        <v>396</v>
      </c>
      <c r="G1711" s="197" t="s">
        <v>688</v>
      </c>
    </row>
    <row r="1712" spans="1:7" hidden="1">
      <c r="A1712" s="197" t="s">
        <v>956</v>
      </c>
      <c r="B1712" s="198">
        <v>2300</v>
      </c>
      <c r="C1712" s="198">
        <v>0</v>
      </c>
      <c r="D1712" s="197" t="s">
        <v>442</v>
      </c>
      <c r="E1712" s="197" t="s">
        <v>638</v>
      </c>
      <c r="F1712" s="197" t="s">
        <v>396</v>
      </c>
      <c r="G1712" s="197" t="s">
        <v>688</v>
      </c>
    </row>
    <row r="1713" spans="1:7" hidden="1">
      <c r="A1713" s="197" t="s">
        <v>957</v>
      </c>
      <c r="B1713" s="198">
        <v>5800</v>
      </c>
      <c r="C1713" s="198">
        <v>0</v>
      </c>
      <c r="D1713" s="197" t="s">
        <v>442</v>
      </c>
      <c r="E1713" s="197" t="s">
        <v>638</v>
      </c>
      <c r="F1713" s="197" t="s">
        <v>396</v>
      </c>
      <c r="G1713" s="197" t="s">
        <v>688</v>
      </c>
    </row>
    <row r="1714" spans="1:7" hidden="1">
      <c r="A1714" s="197" t="s">
        <v>958</v>
      </c>
      <c r="B1714" s="198">
        <v>2100</v>
      </c>
      <c r="C1714" s="198">
        <v>0</v>
      </c>
      <c r="D1714" s="197" t="s">
        <v>442</v>
      </c>
      <c r="E1714" s="197" t="s">
        <v>638</v>
      </c>
      <c r="F1714" s="197" t="s">
        <v>396</v>
      </c>
      <c r="G1714" s="197" t="s">
        <v>688</v>
      </c>
    </row>
    <row r="1715" spans="1:7" hidden="1">
      <c r="A1715" s="197" t="s">
        <v>959</v>
      </c>
      <c r="B1715" s="198">
        <v>7100</v>
      </c>
      <c r="C1715" s="198">
        <v>0</v>
      </c>
      <c r="D1715" s="197" t="s">
        <v>440</v>
      </c>
      <c r="E1715" s="197" t="s">
        <v>638</v>
      </c>
      <c r="F1715" s="197" t="s">
        <v>652</v>
      </c>
      <c r="G1715" s="197" t="s">
        <v>688</v>
      </c>
    </row>
    <row r="1716" spans="1:7" hidden="1">
      <c r="A1716" s="197" t="s">
        <v>960</v>
      </c>
      <c r="B1716" s="198">
        <v>2300</v>
      </c>
      <c r="C1716" s="198">
        <v>0</v>
      </c>
      <c r="D1716" s="197" t="s">
        <v>442</v>
      </c>
      <c r="E1716" s="197" t="s">
        <v>638</v>
      </c>
      <c r="F1716" s="197" t="s">
        <v>396</v>
      </c>
      <c r="G1716" s="197" t="s">
        <v>688</v>
      </c>
    </row>
    <row r="1717" spans="1:7" hidden="1">
      <c r="A1717" s="197" t="s">
        <v>961</v>
      </c>
      <c r="B1717" s="198">
        <v>2500</v>
      </c>
      <c r="C1717" s="198">
        <v>0</v>
      </c>
      <c r="D1717" s="197" t="s">
        <v>442</v>
      </c>
      <c r="E1717" s="197" t="s">
        <v>638</v>
      </c>
      <c r="F1717" s="197" t="s">
        <v>396</v>
      </c>
      <c r="G1717" s="197" t="s">
        <v>688</v>
      </c>
    </row>
    <row r="1718" spans="1:7" hidden="1">
      <c r="A1718" s="197" t="s">
        <v>962</v>
      </c>
      <c r="B1718" s="198">
        <v>1900</v>
      </c>
      <c r="C1718" s="198">
        <v>0</v>
      </c>
      <c r="D1718" s="197" t="s">
        <v>442</v>
      </c>
      <c r="E1718" s="197" t="s">
        <v>638</v>
      </c>
      <c r="F1718" s="197" t="s">
        <v>396</v>
      </c>
      <c r="G1718" s="197" t="s">
        <v>688</v>
      </c>
    </row>
    <row r="1719" spans="1:7" hidden="1">
      <c r="A1719" s="197" t="s">
        <v>963</v>
      </c>
      <c r="B1719" s="198">
        <v>2700</v>
      </c>
      <c r="C1719" s="198">
        <v>0</v>
      </c>
      <c r="D1719" s="197" t="s">
        <v>442</v>
      </c>
      <c r="E1719" s="197" t="s">
        <v>638</v>
      </c>
      <c r="F1719" s="197" t="s">
        <v>396</v>
      </c>
      <c r="G1719" s="197" t="s">
        <v>688</v>
      </c>
    </row>
    <row r="1720" spans="1:7" hidden="1">
      <c r="A1720" s="197" t="s">
        <v>964</v>
      </c>
      <c r="B1720" s="198">
        <v>2900</v>
      </c>
      <c r="C1720" s="198">
        <v>0</v>
      </c>
      <c r="D1720" s="197" t="s">
        <v>442</v>
      </c>
      <c r="E1720" s="197" t="s">
        <v>638</v>
      </c>
      <c r="F1720" s="197" t="s">
        <v>396</v>
      </c>
      <c r="G1720" s="197" t="s">
        <v>688</v>
      </c>
    </row>
    <row r="1721" spans="1:7" hidden="1">
      <c r="A1721" s="197" t="s">
        <v>965</v>
      </c>
      <c r="B1721" s="198">
        <v>13700</v>
      </c>
      <c r="C1721" s="198">
        <v>0</v>
      </c>
      <c r="D1721" s="197" t="s">
        <v>440</v>
      </c>
      <c r="E1721" s="197" t="s">
        <v>638</v>
      </c>
      <c r="F1721" s="197" t="s">
        <v>652</v>
      </c>
      <c r="G1721" s="197" t="s">
        <v>688</v>
      </c>
    </row>
    <row r="1722" spans="1:7" hidden="1">
      <c r="A1722" s="197" t="s">
        <v>966</v>
      </c>
      <c r="B1722" s="198">
        <v>2100</v>
      </c>
      <c r="C1722" s="198">
        <v>0</v>
      </c>
      <c r="D1722" s="197" t="s">
        <v>442</v>
      </c>
      <c r="E1722" s="197" t="s">
        <v>638</v>
      </c>
      <c r="F1722" s="197" t="s">
        <v>396</v>
      </c>
      <c r="G1722" s="197" t="s">
        <v>688</v>
      </c>
    </row>
    <row r="1723" spans="1:7" hidden="1">
      <c r="A1723" s="197" t="s">
        <v>967</v>
      </c>
      <c r="B1723" s="198">
        <v>2500</v>
      </c>
      <c r="C1723" s="198">
        <v>0</v>
      </c>
      <c r="D1723" s="197" t="s">
        <v>442</v>
      </c>
      <c r="E1723" s="197" t="s">
        <v>638</v>
      </c>
      <c r="F1723" s="197" t="s">
        <v>396</v>
      </c>
      <c r="G1723" s="197" t="s">
        <v>688</v>
      </c>
    </row>
    <row r="1724" spans="1:7" hidden="1">
      <c r="A1724" s="197" t="s">
        <v>968</v>
      </c>
      <c r="B1724" s="198">
        <v>3100</v>
      </c>
      <c r="C1724" s="198">
        <v>0</v>
      </c>
      <c r="D1724" s="197" t="s">
        <v>442</v>
      </c>
      <c r="E1724" s="197" t="s">
        <v>638</v>
      </c>
      <c r="F1724" s="197" t="s">
        <v>396</v>
      </c>
      <c r="G1724" s="197" t="s">
        <v>688</v>
      </c>
    </row>
    <row r="1725" spans="1:7" hidden="1">
      <c r="A1725" s="197" t="s">
        <v>969</v>
      </c>
      <c r="B1725" s="198">
        <v>3100</v>
      </c>
      <c r="C1725" s="198">
        <v>0</v>
      </c>
      <c r="D1725" s="197" t="s">
        <v>442</v>
      </c>
      <c r="E1725" s="197" t="s">
        <v>638</v>
      </c>
      <c r="F1725" s="197" t="s">
        <v>396</v>
      </c>
      <c r="G1725" s="197" t="s">
        <v>688</v>
      </c>
    </row>
    <row r="1726" spans="1:7" hidden="1">
      <c r="A1726" s="197" t="s">
        <v>970</v>
      </c>
      <c r="B1726" s="198">
        <v>-900000</v>
      </c>
      <c r="C1726" s="198">
        <v>0</v>
      </c>
      <c r="D1726" s="197" t="s">
        <v>440</v>
      </c>
      <c r="E1726" s="197" t="s">
        <v>971</v>
      </c>
      <c r="F1726" s="197" t="s">
        <v>394</v>
      </c>
      <c r="G1726" s="197" t="s">
        <v>688</v>
      </c>
    </row>
    <row r="1727" spans="1:7" hidden="1">
      <c r="A1727" s="197" t="s">
        <v>972</v>
      </c>
      <c r="B1727" s="198">
        <v>-1835000</v>
      </c>
      <c r="C1727" s="198">
        <v>0</v>
      </c>
      <c r="D1727" s="197" t="s">
        <v>440</v>
      </c>
      <c r="E1727" s="197" t="s">
        <v>971</v>
      </c>
      <c r="F1727" s="197" t="s">
        <v>394</v>
      </c>
      <c r="G1727" s="197" t="s">
        <v>688</v>
      </c>
    </row>
    <row r="1728" spans="1:7" hidden="1">
      <c r="A1728" s="197" t="s">
        <v>973</v>
      </c>
      <c r="B1728" s="198">
        <v>7100</v>
      </c>
      <c r="C1728" s="198">
        <v>0</v>
      </c>
      <c r="D1728" s="197" t="s">
        <v>442</v>
      </c>
      <c r="E1728" s="197" t="s">
        <v>638</v>
      </c>
      <c r="F1728" s="197" t="s">
        <v>396</v>
      </c>
      <c r="G1728" s="197" t="s">
        <v>688</v>
      </c>
    </row>
    <row r="1729" spans="1:7" hidden="1">
      <c r="A1729" s="197" t="s">
        <v>974</v>
      </c>
      <c r="B1729" s="198">
        <v>-158500</v>
      </c>
      <c r="C1729" s="198">
        <v>0</v>
      </c>
      <c r="D1729" s="197" t="s">
        <v>440</v>
      </c>
      <c r="E1729" s="197" t="s">
        <v>638</v>
      </c>
      <c r="F1729" s="197" t="s">
        <v>652</v>
      </c>
      <c r="G1729" s="197" t="s">
        <v>688</v>
      </c>
    </row>
    <row r="1730" spans="1:7" hidden="1">
      <c r="A1730" s="197" t="s">
        <v>975</v>
      </c>
      <c r="B1730" s="198">
        <v>-73800</v>
      </c>
      <c r="C1730" s="198">
        <v>0</v>
      </c>
      <c r="D1730" s="197" t="s">
        <v>442</v>
      </c>
      <c r="E1730" s="197" t="s">
        <v>638</v>
      </c>
      <c r="F1730" s="197" t="s">
        <v>396</v>
      </c>
      <c r="G1730" s="197" t="s">
        <v>688</v>
      </c>
    </row>
    <row r="1731" spans="1:7" hidden="1">
      <c r="A1731" s="197" t="s">
        <v>976</v>
      </c>
      <c r="B1731" s="198">
        <v>-224400</v>
      </c>
      <c r="C1731" s="198">
        <v>0</v>
      </c>
      <c r="D1731" s="197" t="s">
        <v>440</v>
      </c>
      <c r="E1731" s="197" t="s">
        <v>638</v>
      </c>
      <c r="F1731" s="197" t="s">
        <v>409</v>
      </c>
      <c r="G1731" s="197" t="s">
        <v>688</v>
      </c>
    </row>
    <row r="1732" spans="1:7" hidden="1">
      <c r="A1732" s="197" t="s">
        <v>977</v>
      </c>
      <c r="B1732" s="198">
        <v>-7586</v>
      </c>
      <c r="C1732" s="198">
        <v>0</v>
      </c>
      <c r="D1732" s="197" t="s">
        <v>442</v>
      </c>
      <c r="E1732" s="197" t="s">
        <v>638</v>
      </c>
      <c r="F1732" s="197" t="s">
        <v>396</v>
      </c>
      <c r="G1732" s="197" t="s">
        <v>688</v>
      </c>
    </row>
    <row r="1733" spans="1:7" hidden="1">
      <c r="A1733" s="197" t="s">
        <v>978</v>
      </c>
      <c r="B1733" s="198">
        <v>600</v>
      </c>
      <c r="C1733" s="198">
        <v>0</v>
      </c>
      <c r="D1733" s="197" t="s">
        <v>440</v>
      </c>
      <c r="E1733" s="197" t="s">
        <v>638</v>
      </c>
      <c r="F1733" s="197" t="s">
        <v>652</v>
      </c>
      <c r="G1733" s="197" t="s">
        <v>688</v>
      </c>
    </row>
    <row r="1734" spans="1:7" hidden="1">
      <c r="A1734" s="197" t="s">
        <v>979</v>
      </c>
      <c r="B1734" s="198">
        <v>26200</v>
      </c>
      <c r="C1734" s="198">
        <v>0</v>
      </c>
      <c r="D1734" s="197" t="s">
        <v>440</v>
      </c>
      <c r="E1734" s="197" t="s">
        <v>638</v>
      </c>
      <c r="F1734" s="197" t="s">
        <v>652</v>
      </c>
      <c r="G1734" s="197" t="s">
        <v>688</v>
      </c>
    </row>
    <row r="1735" spans="1:7" hidden="1">
      <c r="A1735" s="197" t="s">
        <v>980</v>
      </c>
      <c r="B1735" s="198">
        <v>1100</v>
      </c>
      <c r="C1735" s="198">
        <v>0</v>
      </c>
      <c r="D1735" s="197" t="s">
        <v>440</v>
      </c>
      <c r="E1735" s="197" t="s">
        <v>638</v>
      </c>
      <c r="F1735" s="197" t="s">
        <v>652</v>
      </c>
      <c r="G1735" s="197" t="s">
        <v>688</v>
      </c>
    </row>
    <row r="1736" spans="1:7" hidden="1">
      <c r="A1736" s="197" t="s">
        <v>981</v>
      </c>
      <c r="B1736" s="198">
        <v>28400</v>
      </c>
      <c r="C1736" s="198">
        <v>0</v>
      </c>
      <c r="D1736" s="197" t="s">
        <v>440</v>
      </c>
      <c r="E1736" s="197" t="s">
        <v>638</v>
      </c>
      <c r="F1736" s="197" t="s">
        <v>652</v>
      </c>
      <c r="G1736" s="197" t="s">
        <v>688</v>
      </c>
    </row>
    <row r="1737" spans="1:7" hidden="1">
      <c r="A1737" s="197" t="s">
        <v>982</v>
      </c>
      <c r="B1737" s="198">
        <v>2700</v>
      </c>
      <c r="C1737" s="198">
        <v>0</v>
      </c>
      <c r="D1737" s="197" t="s">
        <v>442</v>
      </c>
      <c r="E1737" s="197" t="s">
        <v>638</v>
      </c>
      <c r="F1737" s="197" t="s">
        <v>396</v>
      </c>
      <c r="G1737" s="197" t="s">
        <v>688</v>
      </c>
    </row>
    <row r="1738" spans="1:7" hidden="1">
      <c r="A1738" s="197" t="s">
        <v>983</v>
      </c>
      <c r="B1738" s="198">
        <v>37000</v>
      </c>
      <c r="C1738" s="198">
        <v>0</v>
      </c>
      <c r="D1738" s="197" t="s">
        <v>440</v>
      </c>
      <c r="E1738" s="197" t="s">
        <v>638</v>
      </c>
      <c r="F1738" s="197" t="s">
        <v>652</v>
      </c>
      <c r="G1738" s="197" t="s">
        <v>688</v>
      </c>
    </row>
    <row r="1739" spans="1:7" hidden="1">
      <c r="A1739" s="197" t="s">
        <v>984</v>
      </c>
      <c r="B1739" s="198">
        <v>8000</v>
      </c>
      <c r="C1739" s="198">
        <v>0</v>
      </c>
      <c r="D1739" s="197" t="s">
        <v>442</v>
      </c>
      <c r="E1739" s="197" t="s">
        <v>638</v>
      </c>
      <c r="F1739" s="197" t="s">
        <v>396</v>
      </c>
      <c r="G1739" s="197" t="s">
        <v>688</v>
      </c>
    </row>
    <row r="1740" spans="1:7" hidden="1">
      <c r="A1740" s="197" t="s">
        <v>985</v>
      </c>
      <c r="B1740" s="198">
        <v>29700</v>
      </c>
      <c r="C1740" s="198">
        <v>0</v>
      </c>
      <c r="D1740" s="197" t="s">
        <v>440</v>
      </c>
      <c r="E1740" s="197" t="s">
        <v>638</v>
      </c>
      <c r="F1740" s="197" t="s">
        <v>652</v>
      </c>
      <c r="G1740" s="197" t="s">
        <v>688</v>
      </c>
    </row>
    <row r="1741" spans="1:7" hidden="1">
      <c r="A1741" s="197" t="s">
        <v>986</v>
      </c>
      <c r="B1741" s="198">
        <v>34100</v>
      </c>
      <c r="C1741" s="198">
        <v>0</v>
      </c>
      <c r="D1741" s="197" t="s">
        <v>440</v>
      </c>
      <c r="E1741" s="197" t="s">
        <v>638</v>
      </c>
      <c r="F1741" s="197" t="s">
        <v>652</v>
      </c>
      <c r="G1741" s="197" t="s">
        <v>688</v>
      </c>
    </row>
    <row r="1742" spans="1:7" hidden="1">
      <c r="A1742" s="197" t="s">
        <v>987</v>
      </c>
      <c r="B1742" s="198">
        <v>19600</v>
      </c>
      <c r="C1742" s="198">
        <v>0</v>
      </c>
      <c r="D1742" s="197" t="s">
        <v>440</v>
      </c>
      <c r="E1742" s="197" t="s">
        <v>638</v>
      </c>
      <c r="F1742" s="197" t="s">
        <v>652</v>
      </c>
      <c r="G1742" s="197" t="s">
        <v>688</v>
      </c>
    </row>
    <row r="1743" spans="1:7" hidden="1">
      <c r="A1743" s="197" t="s">
        <v>988</v>
      </c>
      <c r="B1743" s="198">
        <v>1000</v>
      </c>
      <c r="C1743" s="198">
        <v>0</v>
      </c>
      <c r="D1743" s="197" t="s">
        <v>442</v>
      </c>
      <c r="E1743" s="197" t="s">
        <v>638</v>
      </c>
      <c r="F1743" s="197" t="s">
        <v>396</v>
      </c>
      <c r="G1743" s="197" t="s">
        <v>688</v>
      </c>
    </row>
    <row r="1744" spans="1:7" hidden="1">
      <c r="A1744" s="197" t="s">
        <v>989</v>
      </c>
      <c r="B1744" s="198">
        <v>27100</v>
      </c>
      <c r="C1744" s="198">
        <v>0</v>
      </c>
      <c r="D1744" s="197" t="s">
        <v>440</v>
      </c>
      <c r="E1744" s="197" t="s">
        <v>638</v>
      </c>
      <c r="F1744" s="197" t="s">
        <v>652</v>
      </c>
      <c r="G1744" s="197" t="s">
        <v>688</v>
      </c>
    </row>
    <row r="1745" spans="1:7" hidden="1">
      <c r="A1745" s="197" t="s">
        <v>990</v>
      </c>
      <c r="B1745" s="198">
        <v>37300</v>
      </c>
      <c r="C1745" s="198">
        <v>0</v>
      </c>
      <c r="D1745" s="197" t="s">
        <v>440</v>
      </c>
      <c r="E1745" s="197" t="s">
        <v>638</v>
      </c>
      <c r="F1745" s="197" t="s">
        <v>652</v>
      </c>
      <c r="G1745" s="197" t="s">
        <v>688</v>
      </c>
    </row>
    <row r="1746" spans="1:7" hidden="1">
      <c r="A1746" s="197" t="s">
        <v>991</v>
      </c>
      <c r="B1746" s="198">
        <v>25700</v>
      </c>
      <c r="C1746" s="198">
        <v>0</v>
      </c>
      <c r="D1746" s="197" t="s">
        <v>440</v>
      </c>
      <c r="E1746" s="197" t="s">
        <v>638</v>
      </c>
      <c r="F1746" s="197" t="s">
        <v>652</v>
      </c>
      <c r="G1746" s="197" t="s">
        <v>688</v>
      </c>
    </row>
    <row r="1747" spans="1:7" hidden="1">
      <c r="A1747" s="197" t="s">
        <v>992</v>
      </c>
      <c r="B1747" s="198">
        <v>18400</v>
      </c>
      <c r="C1747" s="198">
        <v>0</v>
      </c>
      <c r="D1747" s="197" t="s">
        <v>440</v>
      </c>
      <c r="E1747" s="197" t="s">
        <v>638</v>
      </c>
      <c r="F1747" s="197" t="s">
        <v>652</v>
      </c>
      <c r="G1747" s="197" t="s">
        <v>688</v>
      </c>
    </row>
    <row r="1748" spans="1:7" hidden="1">
      <c r="A1748" s="197" t="s">
        <v>993</v>
      </c>
      <c r="B1748" s="198">
        <v>2400</v>
      </c>
      <c r="C1748" s="198">
        <v>0</v>
      </c>
      <c r="D1748" s="197" t="s">
        <v>442</v>
      </c>
      <c r="E1748" s="197" t="s">
        <v>638</v>
      </c>
      <c r="F1748" s="197" t="s">
        <v>396</v>
      </c>
      <c r="G1748" s="197" t="s">
        <v>688</v>
      </c>
    </row>
    <row r="1749" spans="1:7" hidden="1">
      <c r="A1749" s="197" t="s">
        <v>994</v>
      </c>
      <c r="B1749" s="198">
        <v>6700</v>
      </c>
      <c r="C1749" s="198">
        <v>0</v>
      </c>
      <c r="D1749" s="197" t="s">
        <v>440</v>
      </c>
      <c r="E1749" s="197" t="s">
        <v>638</v>
      </c>
      <c r="F1749" s="197" t="s">
        <v>652</v>
      </c>
      <c r="G1749" s="197" t="s">
        <v>688</v>
      </c>
    </row>
    <row r="1750" spans="1:7" hidden="1">
      <c r="A1750" s="197" t="s">
        <v>995</v>
      </c>
      <c r="B1750" s="198">
        <v>26500</v>
      </c>
      <c r="C1750" s="198">
        <v>0</v>
      </c>
      <c r="D1750" s="197" t="s">
        <v>440</v>
      </c>
      <c r="E1750" s="197" t="s">
        <v>638</v>
      </c>
      <c r="F1750" s="197" t="s">
        <v>652</v>
      </c>
      <c r="G1750" s="197" t="s">
        <v>688</v>
      </c>
    </row>
    <row r="1751" spans="1:7" hidden="1">
      <c r="A1751" s="197" t="s">
        <v>996</v>
      </c>
      <c r="B1751" s="198">
        <v>16900</v>
      </c>
      <c r="C1751" s="198">
        <v>0</v>
      </c>
      <c r="D1751" s="197" t="s">
        <v>440</v>
      </c>
      <c r="E1751" s="197" t="s">
        <v>638</v>
      </c>
      <c r="F1751" s="197" t="s">
        <v>652</v>
      </c>
      <c r="G1751" s="197" t="s">
        <v>688</v>
      </c>
    </row>
    <row r="1752" spans="1:7" hidden="1">
      <c r="A1752" s="197" t="s">
        <v>997</v>
      </c>
      <c r="B1752" s="198">
        <v>12300</v>
      </c>
      <c r="C1752" s="198">
        <v>0</v>
      </c>
      <c r="D1752" s="197" t="s">
        <v>440</v>
      </c>
      <c r="E1752" s="197" t="s">
        <v>638</v>
      </c>
      <c r="F1752" s="197" t="s">
        <v>652</v>
      </c>
      <c r="G1752" s="197" t="s">
        <v>688</v>
      </c>
    </row>
    <row r="1753" spans="1:7" hidden="1">
      <c r="A1753" s="197" t="s">
        <v>998</v>
      </c>
      <c r="B1753" s="198">
        <v>14500</v>
      </c>
      <c r="C1753" s="198">
        <v>0</v>
      </c>
      <c r="D1753" s="197" t="s">
        <v>442</v>
      </c>
      <c r="E1753" s="197" t="s">
        <v>638</v>
      </c>
      <c r="F1753" s="197" t="s">
        <v>396</v>
      </c>
      <c r="G1753" s="197" t="s">
        <v>688</v>
      </c>
    </row>
    <row r="1754" spans="1:7" hidden="1">
      <c r="A1754" s="197" t="s">
        <v>999</v>
      </c>
      <c r="B1754" s="198">
        <v>26000</v>
      </c>
      <c r="C1754" s="198">
        <v>0</v>
      </c>
      <c r="D1754" s="197" t="s">
        <v>440</v>
      </c>
      <c r="E1754" s="197" t="s">
        <v>638</v>
      </c>
      <c r="F1754" s="197" t="s">
        <v>652</v>
      </c>
      <c r="G1754" s="197" t="s">
        <v>688</v>
      </c>
    </row>
    <row r="1755" spans="1:7" hidden="1">
      <c r="A1755" s="197" t="s">
        <v>1000</v>
      </c>
      <c r="B1755" s="198">
        <v>7756</v>
      </c>
      <c r="C1755" s="198">
        <v>0</v>
      </c>
      <c r="D1755" s="197" t="s">
        <v>440</v>
      </c>
      <c r="E1755" s="197" t="s">
        <v>638</v>
      </c>
      <c r="F1755" s="197" t="s">
        <v>652</v>
      </c>
      <c r="G1755" s="197" t="s">
        <v>688</v>
      </c>
    </row>
    <row r="1756" spans="1:7" hidden="1">
      <c r="A1756" s="197" t="s">
        <v>1001</v>
      </c>
      <c r="B1756" s="198">
        <v>12600</v>
      </c>
      <c r="C1756" s="198">
        <v>0</v>
      </c>
      <c r="D1756" s="197" t="s">
        <v>440</v>
      </c>
      <c r="E1756" s="197" t="s">
        <v>638</v>
      </c>
      <c r="F1756" s="197" t="s">
        <v>652</v>
      </c>
      <c r="G1756" s="197" t="s">
        <v>688</v>
      </c>
    </row>
    <row r="1757" spans="1:7" hidden="1">
      <c r="A1757" s="197" t="s">
        <v>1002</v>
      </c>
      <c r="B1757" s="198">
        <v>20645</v>
      </c>
      <c r="C1757" s="198">
        <v>0</v>
      </c>
      <c r="D1757" s="197" t="s">
        <v>440</v>
      </c>
      <c r="E1757" s="197" t="s">
        <v>638</v>
      </c>
      <c r="F1757" s="197" t="s">
        <v>652</v>
      </c>
      <c r="G1757" s="197" t="s">
        <v>688</v>
      </c>
    </row>
    <row r="1758" spans="1:7" hidden="1">
      <c r="A1758" s="197" t="s">
        <v>1003</v>
      </c>
      <c r="B1758" s="198">
        <v>47000</v>
      </c>
      <c r="C1758" s="198">
        <v>0</v>
      </c>
      <c r="D1758" s="197" t="s">
        <v>440</v>
      </c>
      <c r="E1758" s="197" t="s">
        <v>638</v>
      </c>
      <c r="F1758" s="197" t="s">
        <v>652</v>
      </c>
      <c r="G1758" s="197" t="s">
        <v>688</v>
      </c>
    </row>
    <row r="1759" spans="1:7" hidden="1">
      <c r="A1759" s="197" t="s">
        <v>1004</v>
      </c>
      <c r="B1759" s="198">
        <v>15761</v>
      </c>
      <c r="C1759" s="198">
        <v>0</v>
      </c>
      <c r="D1759" s="197" t="s">
        <v>440</v>
      </c>
      <c r="E1759" s="197" t="s">
        <v>638</v>
      </c>
      <c r="F1759" s="197" t="s">
        <v>652</v>
      </c>
      <c r="G1759" s="197" t="s">
        <v>688</v>
      </c>
    </row>
    <row r="1760" spans="1:7" hidden="1">
      <c r="A1760" s="197" t="s">
        <v>1005</v>
      </c>
      <c r="B1760" s="198">
        <v>5700</v>
      </c>
      <c r="C1760" s="198">
        <v>0</v>
      </c>
      <c r="D1760" s="197" t="s">
        <v>440</v>
      </c>
      <c r="E1760" s="197" t="s">
        <v>638</v>
      </c>
      <c r="F1760" s="197" t="s">
        <v>652</v>
      </c>
      <c r="G1760" s="197" t="s">
        <v>688</v>
      </c>
    </row>
    <row r="1761" spans="1:7" hidden="1">
      <c r="A1761" s="197" t="s">
        <v>1006</v>
      </c>
      <c r="B1761" s="198">
        <v>35900</v>
      </c>
      <c r="C1761" s="198">
        <v>0</v>
      </c>
      <c r="D1761" s="197" t="s">
        <v>440</v>
      </c>
      <c r="E1761" s="197" t="s">
        <v>638</v>
      </c>
      <c r="F1761" s="197" t="s">
        <v>652</v>
      </c>
      <c r="G1761" s="197" t="s">
        <v>688</v>
      </c>
    </row>
    <row r="1762" spans="1:7" hidden="1">
      <c r="A1762" s="197" t="s">
        <v>1007</v>
      </c>
      <c r="B1762" s="198">
        <v>11700</v>
      </c>
      <c r="C1762" s="198">
        <v>0</v>
      </c>
      <c r="D1762" s="197" t="s">
        <v>440</v>
      </c>
      <c r="E1762" s="197" t="s">
        <v>638</v>
      </c>
      <c r="F1762" s="197" t="s">
        <v>652</v>
      </c>
      <c r="G1762" s="197" t="s">
        <v>688</v>
      </c>
    </row>
    <row r="1763" spans="1:7" hidden="1">
      <c r="A1763" s="197" t="s">
        <v>1008</v>
      </c>
      <c r="B1763" s="198">
        <v>3500</v>
      </c>
      <c r="C1763" s="198">
        <v>0</v>
      </c>
      <c r="D1763" s="197" t="s">
        <v>440</v>
      </c>
      <c r="E1763" s="197" t="s">
        <v>638</v>
      </c>
      <c r="F1763" s="197" t="s">
        <v>652</v>
      </c>
      <c r="G1763" s="197" t="s">
        <v>688</v>
      </c>
    </row>
    <row r="1764" spans="1:7" hidden="1">
      <c r="A1764" s="197" t="s">
        <v>1009</v>
      </c>
      <c r="B1764" s="198">
        <v>2089</v>
      </c>
      <c r="C1764" s="198">
        <v>0</v>
      </c>
      <c r="D1764" s="197" t="s">
        <v>442</v>
      </c>
      <c r="E1764" s="197" t="s">
        <v>638</v>
      </c>
      <c r="F1764" s="197" t="s">
        <v>396</v>
      </c>
      <c r="G1764" s="197" t="s">
        <v>688</v>
      </c>
    </row>
    <row r="1765" spans="1:7" hidden="1">
      <c r="A1765" s="197" t="s">
        <v>1010</v>
      </c>
      <c r="B1765" s="198">
        <v>13100</v>
      </c>
      <c r="C1765" s="198">
        <v>0</v>
      </c>
      <c r="D1765" s="197" t="s">
        <v>440</v>
      </c>
      <c r="E1765" s="197" t="s">
        <v>638</v>
      </c>
      <c r="F1765" s="197" t="s">
        <v>652</v>
      </c>
      <c r="G1765" s="197" t="s">
        <v>688</v>
      </c>
    </row>
    <row r="1766" spans="1:7" hidden="1">
      <c r="A1766" s="197" t="s">
        <v>1011</v>
      </c>
      <c r="B1766" s="198">
        <v>21800</v>
      </c>
      <c r="C1766" s="198">
        <v>0</v>
      </c>
      <c r="D1766" s="197" t="s">
        <v>440</v>
      </c>
      <c r="E1766" s="197" t="s">
        <v>638</v>
      </c>
      <c r="F1766" s="197" t="s">
        <v>652</v>
      </c>
      <c r="G1766" s="197" t="s">
        <v>688</v>
      </c>
    </row>
    <row r="1767" spans="1:7" hidden="1">
      <c r="A1767" s="197" t="s">
        <v>1012</v>
      </c>
      <c r="B1767" s="198">
        <v>8600</v>
      </c>
      <c r="C1767" s="198">
        <v>0</v>
      </c>
      <c r="D1767" s="197" t="s">
        <v>440</v>
      </c>
      <c r="E1767" s="197" t="s">
        <v>638</v>
      </c>
      <c r="F1767" s="197" t="s">
        <v>652</v>
      </c>
      <c r="G1767" s="197" t="s">
        <v>688</v>
      </c>
    </row>
    <row r="1768" spans="1:7" hidden="1">
      <c r="A1768" s="197" t="s">
        <v>1013</v>
      </c>
      <c r="B1768" s="198">
        <v>17600</v>
      </c>
      <c r="C1768" s="198">
        <v>0</v>
      </c>
      <c r="D1768" s="197" t="s">
        <v>440</v>
      </c>
      <c r="E1768" s="197" t="s">
        <v>638</v>
      </c>
      <c r="F1768" s="197" t="s">
        <v>652</v>
      </c>
      <c r="G1768" s="197" t="s">
        <v>688</v>
      </c>
    </row>
    <row r="1769" spans="1:7" hidden="1">
      <c r="A1769" s="197" t="s">
        <v>1014</v>
      </c>
      <c r="B1769" s="198">
        <v>14800</v>
      </c>
      <c r="C1769" s="198">
        <v>0</v>
      </c>
      <c r="D1769" s="197" t="s">
        <v>440</v>
      </c>
      <c r="E1769" s="197" t="s">
        <v>638</v>
      </c>
      <c r="F1769" s="197" t="s">
        <v>652</v>
      </c>
      <c r="G1769" s="197" t="s">
        <v>688</v>
      </c>
    </row>
    <row r="1770" spans="1:7" hidden="1">
      <c r="A1770" s="197" t="s">
        <v>1015</v>
      </c>
      <c r="B1770" s="198">
        <v>16900</v>
      </c>
      <c r="C1770" s="198">
        <v>0</v>
      </c>
      <c r="D1770" s="197" t="s">
        <v>440</v>
      </c>
      <c r="E1770" s="197" t="s">
        <v>638</v>
      </c>
      <c r="F1770" s="197" t="s">
        <v>652</v>
      </c>
      <c r="G1770" s="197" t="s">
        <v>688</v>
      </c>
    </row>
    <row r="1771" spans="1:7" hidden="1">
      <c r="A1771" s="197" t="s">
        <v>1016</v>
      </c>
      <c r="B1771" s="198">
        <v>-15900</v>
      </c>
      <c r="C1771" s="198">
        <v>0</v>
      </c>
      <c r="D1771" s="197" t="s">
        <v>442</v>
      </c>
      <c r="E1771" s="197" t="s">
        <v>638</v>
      </c>
      <c r="F1771" s="197" t="s">
        <v>396</v>
      </c>
      <c r="G1771" s="197" t="s">
        <v>688</v>
      </c>
    </row>
    <row r="1772" spans="1:7" hidden="1">
      <c r="A1772" s="197" t="s">
        <v>1017</v>
      </c>
      <c r="B1772" s="198">
        <v>17400</v>
      </c>
      <c r="C1772" s="198">
        <v>0</v>
      </c>
      <c r="D1772" s="197" t="s">
        <v>440</v>
      </c>
      <c r="E1772" s="197" t="s">
        <v>638</v>
      </c>
      <c r="F1772" s="197" t="s">
        <v>652</v>
      </c>
      <c r="G1772" s="197" t="s">
        <v>688</v>
      </c>
    </row>
    <row r="1773" spans="1:7" hidden="1">
      <c r="A1773" s="197" t="s">
        <v>1018</v>
      </c>
      <c r="B1773" s="198">
        <v>125400</v>
      </c>
      <c r="C1773" s="198">
        <v>0</v>
      </c>
      <c r="D1773" s="197" t="s">
        <v>440</v>
      </c>
      <c r="E1773" s="197" t="s">
        <v>638</v>
      </c>
      <c r="F1773" s="197" t="s">
        <v>652</v>
      </c>
      <c r="G1773" s="197" t="s">
        <v>688</v>
      </c>
    </row>
    <row r="1774" spans="1:7" hidden="1">
      <c r="A1774" s="197" t="s">
        <v>1019</v>
      </c>
      <c r="B1774" s="198">
        <v>79000</v>
      </c>
      <c r="C1774" s="198">
        <v>0</v>
      </c>
      <c r="D1774" s="197" t="s">
        <v>440</v>
      </c>
      <c r="E1774" s="197" t="s">
        <v>638</v>
      </c>
      <c r="F1774" s="197" t="s">
        <v>652</v>
      </c>
      <c r="G1774" s="197" t="s">
        <v>688</v>
      </c>
    </row>
    <row r="1775" spans="1:7" hidden="1">
      <c r="A1775" s="197" t="s">
        <v>1020</v>
      </c>
      <c r="B1775" s="198">
        <v>47700</v>
      </c>
      <c r="C1775" s="198">
        <v>0</v>
      </c>
      <c r="D1775" s="197" t="s">
        <v>440</v>
      </c>
      <c r="E1775" s="197" t="s">
        <v>638</v>
      </c>
      <c r="F1775" s="197" t="s">
        <v>652</v>
      </c>
      <c r="G1775" s="197" t="s">
        <v>688</v>
      </c>
    </row>
    <row r="1776" spans="1:7" hidden="1">
      <c r="A1776" s="197" t="s">
        <v>1021</v>
      </c>
      <c r="B1776" s="198">
        <v>100000</v>
      </c>
      <c r="C1776" s="198">
        <v>0</v>
      </c>
      <c r="D1776" s="197" t="s">
        <v>440</v>
      </c>
      <c r="E1776" s="197" t="s">
        <v>638</v>
      </c>
      <c r="F1776" s="197" t="s">
        <v>652</v>
      </c>
      <c r="G1776" s="197" t="s">
        <v>688</v>
      </c>
    </row>
    <row r="1777" spans="1:7" hidden="1">
      <c r="A1777" s="197" t="s">
        <v>1022</v>
      </c>
      <c r="B1777" s="198">
        <v>63000</v>
      </c>
      <c r="C1777" s="198">
        <v>0</v>
      </c>
      <c r="D1777" s="197" t="s">
        <v>440</v>
      </c>
      <c r="E1777" s="197" t="s">
        <v>638</v>
      </c>
      <c r="F1777" s="197" t="s">
        <v>652</v>
      </c>
      <c r="G1777" s="197" t="s">
        <v>688</v>
      </c>
    </row>
    <row r="1778" spans="1:7" hidden="1">
      <c r="A1778" s="197" t="s">
        <v>1023</v>
      </c>
      <c r="B1778" s="198">
        <v>19300</v>
      </c>
      <c r="C1778" s="198">
        <v>0</v>
      </c>
      <c r="D1778" s="197" t="s">
        <v>440</v>
      </c>
      <c r="E1778" s="197" t="s">
        <v>638</v>
      </c>
      <c r="F1778" s="197" t="s">
        <v>652</v>
      </c>
      <c r="G1778" s="197" t="s">
        <v>688</v>
      </c>
    </row>
    <row r="1779" spans="1:7" hidden="1">
      <c r="A1779" s="197" t="s">
        <v>1024</v>
      </c>
      <c r="B1779" s="198">
        <v>18300</v>
      </c>
      <c r="C1779" s="198">
        <v>0</v>
      </c>
      <c r="D1779" s="197" t="s">
        <v>440</v>
      </c>
      <c r="E1779" s="197" t="s">
        <v>638</v>
      </c>
      <c r="F1779" s="197" t="s">
        <v>652</v>
      </c>
      <c r="G1779" s="197" t="s">
        <v>688</v>
      </c>
    </row>
    <row r="1780" spans="1:7" hidden="1">
      <c r="A1780" s="197" t="s">
        <v>1025</v>
      </c>
      <c r="B1780" s="198">
        <v>11400</v>
      </c>
      <c r="C1780" s="198">
        <v>0</v>
      </c>
      <c r="D1780" s="197" t="s">
        <v>440</v>
      </c>
      <c r="E1780" s="197" t="s">
        <v>638</v>
      </c>
      <c r="F1780" s="197" t="s">
        <v>652</v>
      </c>
      <c r="G1780" s="197" t="s">
        <v>688</v>
      </c>
    </row>
    <row r="1781" spans="1:7" hidden="1">
      <c r="A1781" s="197" t="s">
        <v>1026</v>
      </c>
      <c r="B1781" s="198">
        <v>6400</v>
      </c>
      <c r="C1781" s="198">
        <v>0</v>
      </c>
      <c r="D1781" s="197" t="s">
        <v>440</v>
      </c>
      <c r="E1781" s="197" t="s">
        <v>638</v>
      </c>
      <c r="F1781" s="197" t="s">
        <v>652</v>
      </c>
      <c r="G1781" s="197" t="s">
        <v>688</v>
      </c>
    </row>
    <row r="1782" spans="1:7" hidden="1">
      <c r="A1782" s="197" t="s">
        <v>1027</v>
      </c>
      <c r="B1782" s="198">
        <v>10500</v>
      </c>
      <c r="C1782" s="198">
        <v>0</v>
      </c>
      <c r="D1782" s="197" t="s">
        <v>440</v>
      </c>
      <c r="E1782" s="197" t="s">
        <v>638</v>
      </c>
      <c r="F1782" s="197" t="s">
        <v>652</v>
      </c>
      <c r="G1782" s="197" t="s">
        <v>688</v>
      </c>
    </row>
    <row r="1783" spans="1:7" hidden="1">
      <c r="A1783" s="197" t="s">
        <v>1028</v>
      </c>
      <c r="B1783" s="198">
        <v>1200</v>
      </c>
      <c r="C1783" s="198">
        <v>0</v>
      </c>
      <c r="D1783" s="197" t="s">
        <v>442</v>
      </c>
      <c r="E1783" s="197" t="s">
        <v>638</v>
      </c>
      <c r="F1783" s="197" t="s">
        <v>396</v>
      </c>
      <c r="G1783" s="197" t="s">
        <v>688</v>
      </c>
    </row>
    <row r="1784" spans="1:7" hidden="1">
      <c r="A1784" s="197" t="s">
        <v>1029</v>
      </c>
      <c r="B1784" s="198">
        <v>9300</v>
      </c>
      <c r="C1784" s="198">
        <v>0</v>
      </c>
      <c r="D1784" s="197" t="s">
        <v>440</v>
      </c>
      <c r="E1784" s="197" t="s">
        <v>638</v>
      </c>
      <c r="F1784" s="197" t="s">
        <v>652</v>
      </c>
      <c r="G1784" s="197" t="s">
        <v>688</v>
      </c>
    </row>
    <row r="1785" spans="1:7" hidden="1">
      <c r="A1785" s="197" t="s">
        <v>1030</v>
      </c>
      <c r="B1785" s="198">
        <v>23100</v>
      </c>
      <c r="C1785" s="198">
        <v>0</v>
      </c>
      <c r="D1785" s="197" t="s">
        <v>440</v>
      </c>
      <c r="E1785" s="197" t="s">
        <v>638</v>
      </c>
      <c r="F1785" s="197" t="s">
        <v>652</v>
      </c>
      <c r="G1785" s="197" t="s">
        <v>688</v>
      </c>
    </row>
    <row r="1786" spans="1:7" hidden="1">
      <c r="A1786" s="197" t="s">
        <v>1031</v>
      </c>
      <c r="B1786" s="198">
        <v>12700</v>
      </c>
      <c r="C1786" s="198">
        <v>0</v>
      </c>
      <c r="D1786" s="197" t="s">
        <v>440</v>
      </c>
      <c r="E1786" s="197" t="s">
        <v>638</v>
      </c>
      <c r="F1786" s="197" t="s">
        <v>652</v>
      </c>
      <c r="G1786" s="197" t="s">
        <v>688</v>
      </c>
    </row>
    <row r="1787" spans="1:7" hidden="1">
      <c r="A1787" s="197" t="s">
        <v>1032</v>
      </c>
      <c r="B1787" s="198">
        <v>15000</v>
      </c>
      <c r="C1787" s="198">
        <v>0</v>
      </c>
      <c r="D1787" s="197" t="s">
        <v>440</v>
      </c>
      <c r="E1787" s="197" t="s">
        <v>638</v>
      </c>
      <c r="F1787" s="197" t="s">
        <v>652</v>
      </c>
      <c r="G1787" s="197" t="s">
        <v>688</v>
      </c>
    </row>
    <row r="1788" spans="1:7" hidden="1">
      <c r="A1788" s="197" t="s">
        <v>1033</v>
      </c>
      <c r="B1788" s="198">
        <v>2000</v>
      </c>
      <c r="C1788" s="198">
        <v>0</v>
      </c>
      <c r="D1788" s="197" t="s">
        <v>442</v>
      </c>
      <c r="E1788" s="197" t="s">
        <v>638</v>
      </c>
      <c r="F1788" s="197" t="s">
        <v>396</v>
      </c>
      <c r="G1788" s="197" t="s">
        <v>688</v>
      </c>
    </row>
    <row r="1789" spans="1:7" hidden="1">
      <c r="A1789" s="197" t="s">
        <v>1034</v>
      </c>
      <c r="B1789" s="198">
        <v>37400</v>
      </c>
      <c r="C1789" s="198">
        <v>0</v>
      </c>
      <c r="D1789" s="197" t="s">
        <v>440</v>
      </c>
      <c r="E1789" s="197" t="s">
        <v>638</v>
      </c>
      <c r="F1789" s="197" t="s">
        <v>652</v>
      </c>
      <c r="G1789" s="197" t="s">
        <v>688</v>
      </c>
    </row>
    <row r="1790" spans="1:7" hidden="1">
      <c r="A1790" s="197" t="s">
        <v>1035</v>
      </c>
      <c r="B1790" s="198">
        <v>2200</v>
      </c>
      <c r="C1790" s="198">
        <v>0</v>
      </c>
      <c r="D1790" s="197" t="s">
        <v>442</v>
      </c>
      <c r="E1790" s="197" t="s">
        <v>638</v>
      </c>
      <c r="F1790" s="197" t="s">
        <v>396</v>
      </c>
      <c r="G1790" s="197" t="s">
        <v>688</v>
      </c>
    </row>
    <row r="1791" spans="1:7" hidden="1">
      <c r="A1791" s="197" t="s">
        <v>1036</v>
      </c>
      <c r="B1791" s="198">
        <v>15900</v>
      </c>
      <c r="C1791" s="198">
        <v>0</v>
      </c>
      <c r="D1791" s="197" t="s">
        <v>442</v>
      </c>
      <c r="E1791" s="197" t="s">
        <v>638</v>
      </c>
      <c r="F1791" s="197" t="s">
        <v>396</v>
      </c>
      <c r="G1791" s="197" t="s">
        <v>688</v>
      </c>
    </row>
    <row r="1792" spans="1:7" hidden="1">
      <c r="A1792" s="197" t="s">
        <v>1037</v>
      </c>
      <c r="B1792" s="198">
        <v>6600</v>
      </c>
      <c r="C1792" s="198">
        <v>0</v>
      </c>
      <c r="D1792" s="197" t="s">
        <v>440</v>
      </c>
      <c r="E1792" s="197" t="s">
        <v>638</v>
      </c>
      <c r="F1792" s="197" t="s">
        <v>652</v>
      </c>
      <c r="G1792" s="197" t="s">
        <v>688</v>
      </c>
    </row>
    <row r="1793" spans="1:7" hidden="1">
      <c r="A1793" s="197" t="s">
        <v>1038</v>
      </c>
      <c r="B1793" s="198">
        <v>10700</v>
      </c>
      <c r="C1793" s="198">
        <v>0</v>
      </c>
      <c r="D1793" s="197" t="s">
        <v>440</v>
      </c>
      <c r="E1793" s="197" t="s">
        <v>638</v>
      </c>
      <c r="F1793" s="197" t="s">
        <v>652</v>
      </c>
      <c r="G1793" s="197" t="s">
        <v>688</v>
      </c>
    </row>
    <row r="1794" spans="1:7" hidden="1">
      <c r="A1794" s="197" t="s">
        <v>1039</v>
      </c>
      <c r="B1794" s="198">
        <v>2631</v>
      </c>
      <c r="C1794" s="198">
        <v>0</v>
      </c>
      <c r="D1794" s="197" t="s">
        <v>440</v>
      </c>
      <c r="E1794" s="197" t="s">
        <v>638</v>
      </c>
      <c r="F1794" s="197" t="s">
        <v>652</v>
      </c>
      <c r="G1794" s="197" t="s">
        <v>688</v>
      </c>
    </row>
    <row r="1795" spans="1:7" hidden="1">
      <c r="A1795" s="197" t="s">
        <v>1040</v>
      </c>
      <c r="B1795" s="198">
        <v>10200</v>
      </c>
      <c r="C1795" s="198">
        <v>0</v>
      </c>
      <c r="D1795" s="197" t="s">
        <v>440</v>
      </c>
      <c r="E1795" s="197" t="s">
        <v>638</v>
      </c>
      <c r="F1795" s="197" t="s">
        <v>652</v>
      </c>
      <c r="G1795" s="197" t="s">
        <v>688</v>
      </c>
    </row>
    <row r="1796" spans="1:7" hidden="1">
      <c r="A1796" s="197" t="s">
        <v>1041</v>
      </c>
      <c r="B1796" s="198">
        <v>12300</v>
      </c>
      <c r="C1796" s="198">
        <v>0</v>
      </c>
      <c r="D1796" s="197" t="s">
        <v>440</v>
      </c>
      <c r="E1796" s="197" t="s">
        <v>638</v>
      </c>
      <c r="F1796" s="197" t="s">
        <v>652</v>
      </c>
      <c r="G1796" s="197" t="s">
        <v>688</v>
      </c>
    </row>
    <row r="1797" spans="1:7" hidden="1">
      <c r="A1797" s="197" t="s">
        <v>1042</v>
      </c>
      <c r="B1797" s="198">
        <v>26000</v>
      </c>
      <c r="C1797" s="198">
        <v>0</v>
      </c>
      <c r="D1797" s="197" t="s">
        <v>440</v>
      </c>
      <c r="E1797" s="197" t="s">
        <v>638</v>
      </c>
      <c r="F1797" s="197" t="s">
        <v>652</v>
      </c>
      <c r="G1797" s="197" t="s">
        <v>688</v>
      </c>
    </row>
    <row r="1798" spans="1:7" hidden="1">
      <c r="A1798" s="197" t="s">
        <v>1043</v>
      </c>
      <c r="B1798" s="198">
        <v>42400</v>
      </c>
      <c r="C1798" s="198">
        <v>0</v>
      </c>
      <c r="D1798" s="197" t="s">
        <v>440</v>
      </c>
      <c r="E1798" s="197" t="s">
        <v>638</v>
      </c>
      <c r="F1798" s="197" t="s">
        <v>652</v>
      </c>
      <c r="G1798" s="197" t="s">
        <v>688</v>
      </c>
    </row>
    <row r="1799" spans="1:7" hidden="1">
      <c r="A1799" s="197" t="s">
        <v>1044</v>
      </c>
      <c r="B1799" s="198">
        <v>45433</v>
      </c>
      <c r="C1799" s="198">
        <v>0</v>
      </c>
      <c r="D1799" s="197" t="s">
        <v>440</v>
      </c>
      <c r="E1799" s="197" t="s">
        <v>638</v>
      </c>
      <c r="F1799" s="197" t="s">
        <v>652</v>
      </c>
      <c r="G1799" s="197" t="s">
        <v>688</v>
      </c>
    </row>
    <row r="1800" spans="1:7" hidden="1">
      <c r="A1800" s="197" t="s">
        <v>1045</v>
      </c>
      <c r="B1800" s="198">
        <v>40900</v>
      </c>
      <c r="C1800" s="198">
        <v>0</v>
      </c>
      <c r="D1800" s="197" t="s">
        <v>440</v>
      </c>
      <c r="E1800" s="197" t="s">
        <v>638</v>
      </c>
      <c r="F1800" s="197" t="s">
        <v>652</v>
      </c>
      <c r="G1800" s="197" t="s">
        <v>688</v>
      </c>
    </row>
    <row r="1801" spans="1:7" hidden="1">
      <c r="A1801" s="197" t="s">
        <v>1046</v>
      </c>
      <c r="B1801" s="198">
        <v>5000</v>
      </c>
      <c r="C1801" s="198">
        <v>0</v>
      </c>
      <c r="D1801" s="197" t="s">
        <v>442</v>
      </c>
      <c r="E1801" s="197" t="s">
        <v>638</v>
      </c>
      <c r="F1801" s="197" t="s">
        <v>396</v>
      </c>
      <c r="G1801" s="197" t="s">
        <v>688</v>
      </c>
    </row>
    <row r="1802" spans="1:7" hidden="1">
      <c r="A1802" s="197" t="s">
        <v>1047</v>
      </c>
      <c r="B1802" s="198">
        <v>32800</v>
      </c>
      <c r="C1802" s="198">
        <v>0</v>
      </c>
      <c r="D1802" s="197" t="s">
        <v>440</v>
      </c>
      <c r="E1802" s="197" t="s">
        <v>638</v>
      </c>
      <c r="F1802" s="197" t="s">
        <v>652</v>
      </c>
      <c r="G1802" s="197" t="s">
        <v>688</v>
      </c>
    </row>
    <row r="1803" spans="1:7" hidden="1">
      <c r="A1803" s="197" t="s">
        <v>1048</v>
      </c>
      <c r="B1803" s="198">
        <v>11700</v>
      </c>
      <c r="C1803" s="198">
        <v>0</v>
      </c>
      <c r="D1803" s="197" t="s">
        <v>440</v>
      </c>
      <c r="E1803" s="197" t="s">
        <v>638</v>
      </c>
      <c r="F1803" s="197" t="s">
        <v>652</v>
      </c>
      <c r="G1803" s="197" t="s">
        <v>688</v>
      </c>
    </row>
    <row r="1804" spans="1:7" hidden="1">
      <c r="A1804" s="197" t="s">
        <v>1049</v>
      </c>
      <c r="B1804" s="198">
        <v>23400</v>
      </c>
      <c r="C1804" s="198">
        <v>0</v>
      </c>
      <c r="D1804" s="197" t="s">
        <v>440</v>
      </c>
      <c r="E1804" s="197" t="s">
        <v>638</v>
      </c>
      <c r="F1804" s="197" t="s">
        <v>652</v>
      </c>
      <c r="G1804" s="197" t="s">
        <v>688</v>
      </c>
    </row>
    <row r="1805" spans="1:7" hidden="1">
      <c r="A1805" s="197" t="s">
        <v>1050</v>
      </c>
      <c r="B1805" s="198">
        <v>8000</v>
      </c>
      <c r="C1805" s="198">
        <v>0</v>
      </c>
      <c r="D1805" s="197" t="s">
        <v>440</v>
      </c>
      <c r="E1805" s="197" t="s">
        <v>638</v>
      </c>
      <c r="F1805" s="197" t="s">
        <v>652</v>
      </c>
      <c r="G1805" s="197" t="s">
        <v>688</v>
      </c>
    </row>
    <row r="1806" spans="1:7" hidden="1">
      <c r="A1806" s="197" t="s">
        <v>1051</v>
      </c>
      <c r="B1806" s="198">
        <v>11800</v>
      </c>
      <c r="C1806" s="198">
        <v>0</v>
      </c>
      <c r="D1806" s="197" t="s">
        <v>440</v>
      </c>
      <c r="E1806" s="197" t="s">
        <v>638</v>
      </c>
      <c r="F1806" s="197" t="s">
        <v>652</v>
      </c>
      <c r="G1806" s="197" t="s">
        <v>688</v>
      </c>
    </row>
    <row r="1807" spans="1:7" hidden="1">
      <c r="A1807" s="197" t="s">
        <v>1052</v>
      </c>
      <c r="B1807" s="198">
        <v>13400</v>
      </c>
      <c r="C1807" s="198">
        <v>0</v>
      </c>
      <c r="D1807" s="197" t="s">
        <v>440</v>
      </c>
      <c r="E1807" s="197" t="s">
        <v>638</v>
      </c>
      <c r="F1807" s="197" t="s">
        <v>652</v>
      </c>
      <c r="G1807" s="197" t="s">
        <v>688</v>
      </c>
    </row>
    <row r="1808" spans="1:7" hidden="1">
      <c r="A1808" s="197" t="s">
        <v>1053</v>
      </c>
      <c r="B1808" s="198">
        <v>2900</v>
      </c>
      <c r="C1808" s="198">
        <v>0</v>
      </c>
      <c r="D1808" s="197" t="s">
        <v>442</v>
      </c>
      <c r="E1808" s="197" t="s">
        <v>638</v>
      </c>
      <c r="F1808" s="197" t="s">
        <v>396</v>
      </c>
      <c r="G1808" s="197" t="s">
        <v>688</v>
      </c>
    </row>
    <row r="1809" spans="1:7" hidden="1">
      <c r="A1809" s="197" t="s">
        <v>1054</v>
      </c>
      <c r="B1809" s="198">
        <v>57400</v>
      </c>
      <c r="C1809" s="198">
        <v>0</v>
      </c>
      <c r="D1809" s="197" t="s">
        <v>440</v>
      </c>
      <c r="E1809" s="197" t="s">
        <v>638</v>
      </c>
      <c r="F1809" s="197" t="s">
        <v>652</v>
      </c>
      <c r="G1809" s="197" t="s">
        <v>688</v>
      </c>
    </row>
    <row r="1810" spans="1:7" hidden="1">
      <c r="A1810" s="197" t="s">
        <v>1055</v>
      </c>
      <c r="B1810" s="198">
        <v>3600</v>
      </c>
      <c r="C1810" s="198">
        <v>0</v>
      </c>
      <c r="D1810" s="197" t="s">
        <v>442</v>
      </c>
      <c r="E1810" s="197" t="s">
        <v>638</v>
      </c>
      <c r="F1810" s="197" t="s">
        <v>396</v>
      </c>
      <c r="G1810" s="197" t="s">
        <v>688</v>
      </c>
    </row>
    <row r="1811" spans="1:7" hidden="1">
      <c r="A1811" s="197" t="s">
        <v>1056</v>
      </c>
      <c r="B1811" s="198">
        <v>13100</v>
      </c>
      <c r="C1811" s="198">
        <v>0</v>
      </c>
      <c r="D1811" s="197" t="s">
        <v>440</v>
      </c>
      <c r="E1811" s="197" t="s">
        <v>638</v>
      </c>
      <c r="F1811" s="197" t="s">
        <v>652</v>
      </c>
      <c r="G1811" s="197" t="s">
        <v>688</v>
      </c>
    </row>
    <row r="1812" spans="1:7" hidden="1">
      <c r="A1812" s="197" t="s">
        <v>1057</v>
      </c>
      <c r="B1812" s="198">
        <v>6300</v>
      </c>
      <c r="C1812" s="198">
        <v>0</v>
      </c>
      <c r="D1812" s="197" t="s">
        <v>440</v>
      </c>
      <c r="E1812" s="197" t="s">
        <v>638</v>
      </c>
      <c r="F1812" s="197" t="s">
        <v>652</v>
      </c>
      <c r="G1812" s="197" t="s">
        <v>688</v>
      </c>
    </row>
    <row r="1813" spans="1:7" hidden="1">
      <c r="A1813" s="197" t="s">
        <v>1058</v>
      </c>
      <c r="B1813" s="198">
        <v>17700</v>
      </c>
      <c r="C1813" s="198">
        <v>0</v>
      </c>
      <c r="D1813" s="197" t="s">
        <v>440</v>
      </c>
      <c r="E1813" s="197" t="s">
        <v>638</v>
      </c>
      <c r="F1813" s="197" t="s">
        <v>652</v>
      </c>
      <c r="G1813" s="197" t="s">
        <v>688</v>
      </c>
    </row>
    <row r="1814" spans="1:7" hidden="1">
      <c r="A1814" s="197" t="s">
        <v>1059</v>
      </c>
      <c r="B1814" s="198">
        <v>29643</v>
      </c>
      <c r="C1814" s="198">
        <v>0</v>
      </c>
      <c r="D1814" s="197" t="s">
        <v>440</v>
      </c>
      <c r="E1814" s="197" t="s">
        <v>638</v>
      </c>
      <c r="F1814" s="197" t="s">
        <v>652</v>
      </c>
      <c r="G1814" s="197" t="s">
        <v>688</v>
      </c>
    </row>
    <row r="1815" spans="1:7" hidden="1">
      <c r="A1815" s="197" t="s">
        <v>1060</v>
      </c>
      <c r="B1815" s="198">
        <v>39000</v>
      </c>
      <c r="C1815" s="198">
        <v>0</v>
      </c>
      <c r="D1815" s="197" t="s">
        <v>442</v>
      </c>
      <c r="E1815" s="197" t="s">
        <v>638</v>
      </c>
      <c r="F1815" s="197" t="s">
        <v>396</v>
      </c>
      <c r="G1815" s="197" t="s">
        <v>688</v>
      </c>
    </row>
    <row r="1816" spans="1:7" hidden="1">
      <c r="A1816" s="197" t="s">
        <v>1061</v>
      </c>
      <c r="B1816" s="198">
        <v>4900</v>
      </c>
      <c r="C1816" s="198">
        <v>0</v>
      </c>
      <c r="D1816" s="197" t="s">
        <v>442</v>
      </c>
      <c r="E1816" s="197" t="s">
        <v>638</v>
      </c>
      <c r="F1816" s="197" t="s">
        <v>396</v>
      </c>
      <c r="G1816" s="197" t="s">
        <v>688</v>
      </c>
    </row>
    <row r="1817" spans="1:7" hidden="1">
      <c r="A1817" s="197" t="s">
        <v>1062</v>
      </c>
      <c r="B1817" s="198">
        <v>2700</v>
      </c>
      <c r="C1817" s="198">
        <v>0</v>
      </c>
      <c r="D1817" s="197" t="s">
        <v>442</v>
      </c>
      <c r="E1817" s="197" t="s">
        <v>638</v>
      </c>
      <c r="F1817" s="197" t="s">
        <v>396</v>
      </c>
      <c r="G1817" s="197" t="s">
        <v>688</v>
      </c>
    </row>
    <row r="1818" spans="1:7" hidden="1">
      <c r="A1818" s="197" t="s">
        <v>1063</v>
      </c>
      <c r="B1818" s="198">
        <v>5354</v>
      </c>
      <c r="C1818" s="198">
        <v>0</v>
      </c>
      <c r="D1818" s="197" t="s">
        <v>440</v>
      </c>
      <c r="E1818" s="197" t="s">
        <v>638</v>
      </c>
      <c r="F1818" s="197" t="s">
        <v>652</v>
      </c>
      <c r="G1818" s="197" t="s">
        <v>688</v>
      </c>
    </row>
    <row r="1819" spans="1:7" hidden="1">
      <c r="A1819" s="197" t="s">
        <v>1064</v>
      </c>
      <c r="B1819" s="198">
        <v>7300</v>
      </c>
      <c r="C1819" s="198">
        <v>0</v>
      </c>
      <c r="D1819" s="197" t="s">
        <v>440</v>
      </c>
      <c r="E1819" s="197" t="s">
        <v>638</v>
      </c>
      <c r="F1819" s="197" t="s">
        <v>652</v>
      </c>
      <c r="G1819" s="197" t="s">
        <v>688</v>
      </c>
    </row>
    <row r="1820" spans="1:7" hidden="1">
      <c r="A1820" s="197" t="s">
        <v>1065</v>
      </c>
      <c r="B1820" s="198">
        <v>1078</v>
      </c>
      <c r="C1820" s="198">
        <v>0</v>
      </c>
      <c r="D1820" s="197" t="s">
        <v>440</v>
      </c>
      <c r="E1820" s="197" t="s">
        <v>638</v>
      </c>
      <c r="F1820" s="197" t="s">
        <v>652</v>
      </c>
      <c r="G1820" s="197" t="s">
        <v>688</v>
      </c>
    </row>
    <row r="1821" spans="1:7" hidden="1">
      <c r="A1821" s="197" t="s">
        <v>1066</v>
      </c>
      <c r="B1821" s="198">
        <v>213</v>
      </c>
      <c r="C1821" s="198">
        <v>0</v>
      </c>
      <c r="D1821" s="197" t="s">
        <v>442</v>
      </c>
      <c r="E1821" s="197" t="s">
        <v>638</v>
      </c>
      <c r="F1821" s="197" t="s">
        <v>396</v>
      </c>
      <c r="G1821" s="197" t="s">
        <v>688</v>
      </c>
    </row>
    <row r="1822" spans="1:7" hidden="1">
      <c r="A1822" s="197" t="s">
        <v>1067</v>
      </c>
      <c r="B1822" s="198">
        <v>-26900</v>
      </c>
      <c r="C1822" s="198">
        <v>0</v>
      </c>
      <c r="D1822" s="197" t="s">
        <v>440</v>
      </c>
      <c r="E1822" s="197" t="s">
        <v>638</v>
      </c>
      <c r="F1822" s="197" t="s">
        <v>409</v>
      </c>
      <c r="G1822" s="197" t="s">
        <v>688</v>
      </c>
    </row>
    <row r="1823" spans="1:7" hidden="1">
      <c r="A1823" s="197" t="s">
        <v>1068</v>
      </c>
      <c r="B1823" s="198">
        <v>-38300</v>
      </c>
      <c r="C1823" s="198">
        <v>0</v>
      </c>
      <c r="D1823" s="197" t="s">
        <v>440</v>
      </c>
      <c r="E1823" s="197" t="s">
        <v>638</v>
      </c>
      <c r="F1823" s="197" t="s">
        <v>652</v>
      </c>
      <c r="G1823" s="197" t="s">
        <v>688</v>
      </c>
    </row>
    <row r="1824" spans="1:7" hidden="1">
      <c r="A1824" s="197" t="s">
        <v>1069</v>
      </c>
      <c r="B1824" s="198">
        <v>-13000</v>
      </c>
      <c r="C1824" s="198">
        <v>0</v>
      </c>
      <c r="D1824" s="197" t="s">
        <v>442</v>
      </c>
      <c r="E1824" s="197" t="s">
        <v>638</v>
      </c>
      <c r="F1824" s="197" t="s">
        <v>396</v>
      </c>
      <c r="G1824" s="197" t="s">
        <v>688</v>
      </c>
    </row>
    <row r="1825" spans="1:7" hidden="1">
      <c r="A1825" s="197" t="s">
        <v>1070</v>
      </c>
      <c r="B1825" s="198">
        <v>-800</v>
      </c>
      <c r="C1825" s="198">
        <v>0</v>
      </c>
      <c r="D1825" s="197" t="s">
        <v>440</v>
      </c>
      <c r="E1825" s="197" t="s">
        <v>638</v>
      </c>
      <c r="F1825" s="197" t="s">
        <v>652</v>
      </c>
      <c r="G1825" s="197" t="s">
        <v>688</v>
      </c>
    </row>
    <row r="1826" spans="1:7" hidden="1">
      <c r="A1826" s="197" t="s">
        <v>1071</v>
      </c>
      <c r="B1826" s="198">
        <v>-28000</v>
      </c>
      <c r="C1826" s="198">
        <v>0</v>
      </c>
      <c r="D1826" s="197" t="s">
        <v>440</v>
      </c>
      <c r="E1826" s="197" t="s">
        <v>638</v>
      </c>
      <c r="F1826" s="197" t="s">
        <v>652</v>
      </c>
      <c r="G1826" s="197" t="s">
        <v>688</v>
      </c>
    </row>
    <row r="1827" spans="1:7" hidden="1">
      <c r="A1827" s="197" t="s">
        <v>1072</v>
      </c>
      <c r="B1827" s="198">
        <v>-7200</v>
      </c>
      <c r="C1827" s="198">
        <v>0</v>
      </c>
      <c r="D1827" s="197" t="s">
        <v>442</v>
      </c>
      <c r="E1827" s="197" t="s">
        <v>638</v>
      </c>
      <c r="F1827" s="197" t="s">
        <v>396</v>
      </c>
      <c r="G1827" s="197" t="s">
        <v>688</v>
      </c>
    </row>
    <row r="1828" spans="1:7" hidden="1">
      <c r="A1828" s="197" t="s">
        <v>1073</v>
      </c>
      <c r="B1828" s="198">
        <v>-50708</v>
      </c>
      <c r="C1828" s="198">
        <v>0</v>
      </c>
      <c r="D1828" s="197" t="s">
        <v>440</v>
      </c>
      <c r="E1828" s="197" t="s">
        <v>638</v>
      </c>
      <c r="F1828" s="197" t="s">
        <v>652</v>
      </c>
      <c r="G1828" s="197" t="s">
        <v>688</v>
      </c>
    </row>
    <row r="1829" spans="1:7" hidden="1">
      <c r="A1829" s="197" t="s">
        <v>1074</v>
      </c>
      <c r="B1829" s="198">
        <v>-11300</v>
      </c>
      <c r="C1829" s="198">
        <v>0</v>
      </c>
      <c r="D1829" s="197" t="s">
        <v>442</v>
      </c>
      <c r="E1829" s="197" t="s">
        <v>638</v>
      </c>
      <c r="F1829" s="197" t="s">
        <v>396</v>
      </c>
      <c r="G1829" s="197" t="s">
        <v>688</v>
      </c>
    </row>
    <row r="1830" spans="1:7" hidden="1">
      <c r="A1830" s="197" t="s">
        <v>1075</v>
      </c>
      <c r="B1830" s="198">
        <v>23100</v>
      </c>
      <c r="C1830" s="198">
        <v>0</v>
      </c>
      <c r="D1830" s="197" t="s">
        <v>440</v>
      </c>
      <c r="E1830" s="197" t="s">
        <v>638</v>
      </c>
      <c r="F1830" s="197" t="s">
        <v>652</v>
      </c>
      <c r="G1830" s="197" t="s">
        <v>688</v>
      </c>
    </row>
    <row r="1831" spans="1:7" hidden="1">
      <c r="A1831" s="197" t="s">
        <v>1076</v>
      </c>
      <c r="B1831" s="198">
        <v>3300</v>
      </c>
      <c r="C1831" s="198">
        <v>0</v>
      </c>
      <c r="D1831" s="197" t="s">
        <v>442</v>
      </c>
      <c r="E1831" s="197" t="s">
        <v>638</v>
      </c>
      <c r="F1831" s="197" t="s">
        <v>396</v>
      </c>
      <c r="G1831" s="197" t="s">
        <v>688</v>
      </c>
    </row>
    <row r="1832" spans="1:7" hidden="1">
      <c r="A1832" s="197" t="s">
        <v>1077</v>
      </c>
      <c r="B1832" s="198">
        <v>7900</v>
      </c>
      <c r="C1832" s="198">
        <v>0</v>
      </c>
      <c r="D1832" s="197" t="s">
        <v>440</v>
      </c>
      <c r="E1832" s="197" t="s">
        <v>638</v>
      </c>
      <c r="F1832" s="197" t="s">
        <v>652</v>
      </c>
      <c r="G1832" s="197" t="s">
        <v>688</v>
      </c>
    </row>
    <row r="1833" spans="1:7" hidden="1">
      <c r="A1833" s="197" t="s">
        <v>1078</v>
      </c>
      <c r="B1833" s="198">
        <v>62700</v>
      </c>
      <c r="C1833" s="198">
        <v>0</v>
      </c>
      <c r="D1833" s="197" t="s">
        <v>440</v>
      </c>
      <c r="E1833" s="197" t="s">
        <v>638</v>
      </c>
      <c r="F1833" s="197" t="s">
        <v>652</v>
      </c>
      <c r="G1833" s="197" t="s">
        <v>688</v>
      </c>
    </row>
    <row r="1834" spans="1:7" hidden="1">
      <c r="A1834" s="197" t="s">
        <v>1079</v>
      </c>
      <c r="B1834" s="198">
        <v>18650</v>
      </c>
      <c r="C1834" s="198">
        <v>0</v>
      </c>
      <c r="D1834" s="197" t="s">
        <v>442</v>
      </c>
      <c r="E1834" s="197" t="s">
        <v>638</v>
      </c>
      <c r="F1834" s="197" t="s">
        <v>396</v>
      </c>
      <c r="G1834" s="197" t="s">
        <v>688</v>
      </c>
    </row>
    <row r="1835" spans="1:7" hidden="1">
      <c r="A1835" s="197" t="s">
        <v>1080</v>
      </c>
      <c r="B1835" s="198">
        <v>28800</v>
      </c>
      <c r="C1835" s="198">
        <v>0</v>
      </c>
      <c r="D1835" s="197" t="s">
        <v>440</v>
      </c>
      <c r="E1835" s="197" t="s">
        <v>638</v>
      </c>
      <c r="F1835" s="197" t="s">
        <v>652</v>
      </c>
      <c r="G1835" s="197" t="s">
        <v>688</v>
      </c>
    </row>
    <row r="1836" spans="1:7" hidden="1">
      <c r="A1836" s="197" t="s">
        <v>1081</v>
      </c>
      <c r="B1836" s="198">
        <v>42700</v>
      </c>
      <c r="C1836" s="198">
        <v>0</v>
      </c>
      <c r="D1836" s="197" t="s">
        <v>442</v>
      </c>
      <c r="E1836" s="197" t="s">
        <v>638</v>
      </c>
      <c r="F1836" s="197" t="s">
        <v>396</v>
      </c>
      <c r="G1836" s="197" t="s">
        <v>688</v>
      </c>
    </row>
    <row r="1837" spans="1:7" hidden="1">
      <c r="A1837" s="197" t="s">
        <v>1082</v>
      </c>
      <c r="B1837" s="198">
        <v>19240</v>
      </c>
      <c r="C1837" s="198">
        <v>0</v>
      </c>
      <c r="D1837" s="197" t="s">
        <v>440</v>
      </c>
      <c r="E1837" s="197" t="s">
        <v>638</v>
      </c>
      <c r="F1837" s="197" t="s">
        <v>652</v>
      </c>
      <c r="G1837" s="197" t="s">
        <v>688</v>
      </c>
    </row>
    <row r="1838" spans="1:7" hidden="1">
      <c r="A1838" s="197" t="s">
        <v>1083</v>
      </c>
      <c r="B1838" s="198">
        <v>60000</v>
      </c>
      <c r="C1838" s="198">
        <v>0</v>
      </c>
      <c r="D1838" s="197" t="s">
        <v>440</v>
      </c>
      <c r="E1838" s="197" t="s">
        <v>638</v>
      </c>
      <c r="F1838" s="197" t="s">
        <v>652</v>
      </c>
      <c r="G1838" s="197" t="s">
        <v>688</v>
      </c>
    </row>
    <row r="1839" spans="1:7" hidden="1">
      <c r="A1839" s="197" t="s">
        <v>1084</v>
      </c>
      <c r="B1839" s="198">
        <v>18000</v>
      </c>
      <c r="C1839" s="198">
        <v>0</v>
      </c>
      <c r="D1839" s="197" t="s">
        <v>442</v>
      </c>
      <c r="E1839" s="197" t="s">
        <v>638</v>
      </c>
      <c r="F1839" s="197" t="s">
        <v>396</v>
      </c>
      <c r="G1839" s="197" t="s">
        <v>688</v>
      </c>
    </row>
    <row r="1840" spans="1:7" hidden="1">
      <c r="A1840" s="197" t="s">
        <v>1085</v>
      </c>
      <c r="B1840" s="198">
        <v>104600</v>
      </c>
      <c r="C1840" s="198">
        <v>0</v>
      </c>
      <c r="D1840" s="197" t="s">
        <v>440</v>
      </c>
      <c r="E1840" s="197" t="s">
        <v>638</v>
      </c>
      <c r="F1840" s="197" t="s">
        <v>652</v>
      </c>
      <c r="G1840" s="197" t="s">
        <v>688</v>
      </c>
    </row>
    <row r="1841" spans="1:7" hidden="1">
      <c r="A1841" s="197" t="s">
        <v>1086</v>
      </c>
      <c r="B1841" s="198">
        <v>2700</v>
      </c>
      <c r="C1841" s="198">
        <v>0</v>
      </c>
      <c r="D1841" s="197" t="s">
        <v>442</v>
      </c>
      <c r="E1841" s="197" t="s">
        <v>638</v>
      </c>
      <c r="F1841" s="197" t="s">
        <v>396</v>
      </c>
      <c r="G1841" s="197" t="s">
        <v>688</v>
      </c>
    </row>
    <row r="1842" spans="1:7" hidden="1">
      <c r="A1842" s="197" t="s">
        <v>1087</v>
      </c>
      <c r="B1842" s="198">
        <v>9200</v>
      </c>
      <c r="C1842" s="198">
        <v>0</v>
      </c>
      <c r="D1842" s="197" t="s">
        <v>442</v>
      </c>
      <c r="E1842" s="197" t="s">
        <v>638</v>
      </c>
      <c r="F1842" s="197" t="s">
        <v>396</v>
      </c>
      <c r="G1842" s="197" t="s">
        <v>688</v>
      </c>
    </row>
    <row r="1843" spans="1:7" hidden="1">
      <c r="A1843" s="197" t="s">
        <v>1088</v>
      </c>
      <c r="B1843" s="198">
        <v>4600</v>
      </c>
      <c r="C1843" s="198">
        <v>0</v>
      </c>
      <c r="D1843" s="197" t="s">
        <v>442</v>
      </c>
      <c r="E1843" s="197" t="s">
        <v>638</v>
      </c>
      <c r="F1843" s="197" t="s">
        <v>396</v>
      </c>
      <c r="G1843" s="197" t="s">
        <v>688</v>
      </c>
    </row>
    <row r="1844" spans="1:7" hidden="1">
      <c r="A1844" s="197" t="s">
        <v>1089</v>
      </c>
      <c r="B1844" s="198">
        <v>18800</v>
      </c>
      <c r="C1844" s="198">
        <v>0</v>
      </c>
      <c r="D1844" s="197" t="s">
        <v>442</v>
      </c>
      <c r="E1844" s="197" t="s">
        <v>638</v>
      </c>
      <c r="F1844" s="197" t="s">
        <v>396</v>
      </c>
      <c r="G1844" s="197" t="s">
        <v>688</v>
      </c>
    </row>
    <row r="1845" spans="1:7" hidden="1">
      <c r="A1845" s="197" t="s">
        <v>1090</v>
      </c>
      <c r="B1845" s="198">
        <v>9000</v>
      </c>
      <c r="C1845" s="198">
        <v>0</v>
      </c>
      <c r="D1845" s="197" t="s">
        <v>442</v>
      </c>
      <c r="E1845" s="197" t="s">
        <v>638</v>
      </c>
      <c r="F1845" s="197" t="s">
        <v>396</v>
      </c>
      <c r="G1845" s="197" t="s">
        <v>688</v>
      </c>
    </row>
    <row r="1846" spans="1:7" hidden="1">
      <c r="A1846" s="197" t="s">
        <v>1091</v>
      </c>
      <c r="B1846" s="198">
        <v>8900</v>
      </c>
      <c r="C1846" s="198">
        <v>0</v>
      </c>
      <c r="D1846" s="197" t="s">
        <v>442</v>
      </c>
      <c r="E1846" s="197" t="s">
        <v>638</v>
      </c>
      <c r="F1846" s="197" t="s">
        <v>396</v>
      </c>
      <c r="G1846" s="197" t="s">
        <v>688</v>
      </c>
    </row>
    <row r="1847" spans="1:7" hidden="1">
      <c r="A1847" s="197" t="s">
        <v>1092</v>
      </c>
      <c r="B1847" s="198">
        <v>-15200</v>
      </c>
      <c r="C1847" s="198">
        <v>0</v>
      </c>
      <c r="D1847" s="197" t="s">
        <v>440</v>
      </c>
      <c r="E1847" s="197" t="s">
        <v>638</v>
      </c>
      <c r="F1847" s="197" t="s">
        <v>652</v>
      </c>
      <c r="G1847" s="197" t="s">
        <v>688</v>
      </c>
    </row>
    <row r="1848" spans="1:7" hidden="1">
      <c r="A1848" s="197" t="s">
        <v>1092</v>
      </c>
      <c r="B1848" s="198">
        <v>17900</v>
      </c>
      <c r="C1848" s="198">
        <v>0</v>
      </c>
      <c r="D1848" s="197" t="s">
        <v>474</v>
      </c>
      <c r="E1848" s="197" t="s">
        <v>638</v>
      </c>
      <c r="F1848" s="197" t="s">
        <v>652</v>
      </c>
      <c r="G1848" s="197" t="s">
        <v>688</v>
      </c>
    </row>
    <row r="1849" spans="1:7" hidden="1">
      <c r="A1849" s="197" t="s">
        <v>1093</v>
      </c>
      <c r="B1849" s="198">
        <v>9100</v>
      </c>
      <c r="C1849" s="198">
        <v>0</v>
      </c>
      <c r="D1849" s="197" t="s">
        <v>442</v>
      </c>
      <c r="E1849" s="197" t="s">
        <v>638</v>
      </c>
      <c r="F1849" s="197" t="s">
        <v>396</v>
      </c>
      <c r="G1849" s="197" t="s">
        <v>688</v>
      </c>
    </row>
    <row r="1850" spans="1:7" hidden="1">
      <c r="A1850" s="197" t="s">
        <v>1094</v>
      </c>
      <c r="B1850" s="198">
        <v>32400</v>
      </c>
      <c r="C1850" s="198">
        <v>0</v>
      </c>
      <c r="D1850" s="197" t="s">
        <v>440</v>
      </c>
      <c r="E1850" s="197" t="s">
        <v>638</v>
      </c>
      <c r="F1850" s="197" t="s">
        <v>652</v>
      </c>
      <c r="G1850" s="197" t="s">
        <v>688</v>
      </c>
    </row>
    <row r="1851" spans="1:7" hidden="1">
      <c r="A1851" s="197" t="s">
        <v>1095</v>
      </c>
      <c r="B1851" s="198">
        <v>50000</v>
      </c>
      <c r="C1851" s="198">
        <v>0</v>
      </c>
      <c r="D1851" s="197" t="s">
        <v>440</v>
      </c>
      <c r="E1851" s="197" t="s">
        <v>638</v>
      </c>
      <c r="F1851" s="197" t="s">
        <v>652</v>
      </c>
      <c r="G1851" s="197" t="s">
        <v>688</v>
      </c>
    </row>
    <row r="1852" spans="1:7" hidden="1">
      <c r="A1852" s="197" t="s">
        <v>1096</v>
      </c>
      <c r="B1852" s="198">
        <v>10000</v>
      </c>
      <c r="C1852" s="198">
        <v>0</v>
      </c>
      <c r="D1852" s="197" t="s">
        <v>442</v>
      </c>
      <c r="E1852" s="197" t="s">
        <v>638</v>
      </c>
      <c r="F1852" s="197" t="s">
        <v>396</v>
      </c>
      <c r="G1852" s="197" t="s">
        <v>688</v>
      </c>
    </row>
    <row r="1853" spans="1:7" hidden="1">
      <c r="A1853" s="197" t="s">
        <v>1097</v>
      </c>
      <c r="B1853" s="198">
        <v>7300</v>
      </c>
      <c r="C1853" s="198">
        <v>0</v>
      </c>
      <c r="D1853" s="197" t="s">
        <v>442</v>
      </c>
      <c r="E1853" s="197" t="s">
        <v>638</v>
      </c>
      <c r="F1853" s="197" t="s">
        <v>396</v>
      </c>
      <c r="G1853" s="197" t="s">
        <v>688</v>
      </c>
    </row>
    <row r="1854" spans="1:7" hidden="1">
      <c r="A1854" s="197" t="s">
        <v>1098</v>
      </c>
      <c r="B1854" s="198">
        <v>18900</v>
      </c>
      <c r="C1854" s="198">
        <v>0</v>
      </c>
      <c r="D1854" s="197" t="s">
        <v>442</v>
      </c>
      <c r="E1854" s="197" t="s">
        <v>638</v>
      </c>
      <c r="F1854" s="197" t="s">
        <v>396</v>
      </c>
      <c r="G1854" s="197" t="s">
        <v>688</v>
      </c>
    </row>
    <row r="1855" spans="1:7" hidden="1">
      <c r="A1855" s="197" t="s">
        <v>1099</v>
      </c>
      <c r="B1855" s="198">
        <v>8100</v>
      </c>
      <c r="C1855" s="198">
        <v>0</v>
      </c>
      <c r="D1855" s="197" t="s">
        <v>442</v>
      </c>
      <c r="E1855" s="197" t="s">
        <v>638</v>
      </c>
      <c r="F1855" s="197" t="s">
        <v>396</v>
      </c>
      <c r="G1855" s="197" t="s">
        <v>688</v>
      </c>
    </row>
    <row r="1856" spans="1:7" hidden="1">
      <c r="A1856" s="197" t="s">
        <v>1100</v>
      </c>
      <c r="B1856" s="198">
        <v>17900</v>
      </c>
      <c r="C1856" s="198">
        <v>0</v>
      </c>
      <c r="D1856" s="197" t="s">
        <v>474</v>
      </c>
      <c r="E1856" s="197" t="s">
        <v>638</v>
      </c>
      <c r="F1856" s="197" t="s">
        <v>396</v>
      </c>
      <c r="G1856" s="197" t="s">
        <v>688</v>
      </c>
    </row>
    <row r="1857" spans="1:7" hidden="1">
      <c r="A1857" s="197" t="s">
        <v>1101</v>
      </c>
      <c r="B1857" s="198">
        <v>66600</v>
      </c>
      <c r="C1857" s="198">
        <v>0</v>
      </c>
      <c r="D1857" s="197" t="s">
        <v>442</v>
      </c>
      <c r="E1857" s="197" t="s">
        <v>638</v>
      </c>
      <c r="F1857" s="197" t="s">
        <v>396</v>
      </c>
      <c r="G1857" s="197" t="s">
        <v>688</v>
      </c>
    </row>
    <row r="1858" spans="1:7" hidden="1">
      <c r="A1858" s="197" t="s">
        <v>1102</v>
      </c>
      <c r="B1858" s="198">
        <v>-16800</v>
      </c>
      <c r="C1858" s="198">
        <v>0</v>
      </c>
      <c r="D1858" s="197" t="s">
        <v>440</v>
      </c>
      <c r="E1858" s="197" t="s">
        <v>638</v>
      </c>
      <c r="F1858" s="197" t="s">
        <v>409</v>
      </c>
      <c r="G1858" s="197" t="s">
        <v>688</v>
      </c>
    </row>
    <row r="1859" spans="1:7" hidden="1">
      <c r="A1859" s="197" t="s">
        <v>1103</v>
      </c>
      <c r="B1859" s="198">
        <v>8400</v>
      </c>
      <c r="C1859" s="198">
        <v>0</v>
      </c>
      <c r="D1859" s="197" t="s">
        <v>442</v>
      </c>
      <c r="E1859" s="197" t="s">
        <v>638</v>
      </c>
      <c r="F1859" s="197" t="s">
        <v>396</v>
      </c>
      <c r="G1859" s="197" t="s">
        <v>688</v>
      </c>
    </row>
    <row r="1860" spans="1:7" hidden="1">
      <c r="A1860" s="197" t="s">
        <v>1104</v>
      </c>
      <c r="B1860" s="198">
        <v>35200</v>
      </c>
      <c r="C1860" s="198">
        <v>0</v>
      </c>
      <c r="D1860" s="197" t="s">
        <v>440</v>
      </c>
      <c r="E1860" s="197" t="s">
        <v>638</v>
      </c>
      <c r="F1860" s="197" t="s">
        <v>652</v>
      </c>
      <c r="G1860" s="197" t="s">
        <v>688</v>
      </c>
    </row>
    <row r="1861" spans="1:7" hidden="1">
      <c r="A1861" s="197" t="s">
        <v>1105</v>
      </c>
      <c r="B1861" s="198">
        <v>9160</v>
      </c>
      <c r="C1861" s="198">
        <v>0</v>
      </c>
      <c r="D1861" s="197" t="s">
        <v>442</v>
      </c>
      <c r="E1861" s="197" t="s">
        <v>638</v>
      </c>
      <c r="F1861" s="197" t="s">
        <v>396</v>
      </c>
      <c r="G1861" s="197" t="s">
        <v>688</v>
      </c>
    </row>
    <row r="1862" spans="1:7" hidden="1">
      <c r="A1862" s="197" t="s">
        <v>1106</v>
      </c>
      <c r="B1862" s="198">
        <v>75800</v>
      </c>
      <c r="C1862" s="198">
        <v>0</v>
      </c>
      <c r="D1862" s="197" t="s">
        <v>442</v>
      </c>
      <c r="E1862" s="197" t="s">
        <v>638</v>
      </c>
      <c r="F1862" s="197" t="s">
        <v>396</v>
      </c>
      <c r="G1862" s="197" t="s">
        <v>688</v>
      </c>
    </row>
    <row r="1863" spans="1:7" hidden="1">
      <c r="A1863" s="197" t="s">
        <v>1107</v>
      </c>
      <c r="B1863" s="198">
        <v>17900</v>
      </c>
      <c r="C1863" s="198">
        <v>0</v>
      </c>
      <c r="D1863" s="197" t="s">
        <v>440</v>
      </c>
      <c r="E1863" s="197" t="s">
        <v>638</v>
      </c>
      <c r="F1863" s="197" t="s">
        <v>652</v>
      </c>
      <c r="G1863" s="197" t="s">
        <v>688</v>
      </c>
    </row>
    <row r="1864" spans="1:7" hidden="1">
      <c r="A1864" s="197" t="s">
        <v>637</v>
      </c>
      <c r="B1864" s="198">
        <v>-111794</v>
      </c>
      <c r="C1864" s="198">
        <v>0</v>
      </c>
      <c r="D1864" s="197" t="s">
        <v>440</v>
      </c>
      <c r="E1864" s="197" t="s">
        <v>638</v>
      </c>
      <c r="F1864" s="197" t="s">
        <v>393</v>
      </c>
      <c r="G1864" s="197" t="s">
        <v>688</v>
      </c>
    </row>
    <row r="1865" spans="1:7" hidden="1">
      <c r="A1865" s="197" t="s">
        <v>376</v>
      </c>
      <c r="B1865" s="198">
        <v>560</v>
      </c>
      <c r="C1865" s="198">
        <v>0</v>
      </c>
      <c r="D1865" s="197" t="s">
        <v>283</v>
      </c>
      <c r="E1865" s="197" t="s">
        <v>639</v>
      </c>
      <c r="F1865" s="197" t="s">
        <v>393</v>
      </c>
      <c r="G1865" s="197" t="s">
        <v>688</v>
      </c>
    </row>
    <row r="1866" spans="1:7">
      <c r="A1866" s="197" t="s">
        <v>376</v>
      </c>
      <c r="B1866" s="198">
        <v>560</v>
      </c>
      <c r="C1866" s="198">
        <v>0</v>
      </c>
      <c r="D1866" s="197" t="s">
        <v>282</v>
      </c>
      <c r="E1866" s="197" t="s">
        <v>639</v>
      </c>
      <c r="F1866" s="197" t="s">
        <v>393</v>
      </c>
      <c r="G1866" s="197" t="s">
        <v>688</v>
      </c>
    </row>
    <row r="1867" spans="1:7" hidden="1">
      <c r="A1867" s="197" t="s">
        <v>640</v>
      </c>
      <c r="B1867" s="198">
        <v>187</v>
      </c>
      <c r="C1867" s="198">
        <v>0</v>
      </c>
      <c r="D1867" s="197" t="s">
        <v>442</v>
      </c>
      <c r="E1867" s="197" t="s">
        <v>639</v>
      </c>
      <c r="F1867" s="197" t="s">
        <v>393</v>
      </c>
      <c r="G1867" s="197" t="s">
        <v>688</v>
      </c>
    </row>
    <row r="1868" spans="1:7" hidden="1">
      <c r="A1868" s="197" t="s">
        <v>641</v>
      </c>
      <c r="B1868" s="198">
        <v>-143</v>
      </c>
      <c r="C1868" s="198">
        <v>0</v>
      </c>
      <c r="D1868" s="197" t="s">
        <v>442</v>
      </c>
      <c r="E1868" s="197" t="s">
        <v>639</v>
      </c>
      <c r="F1868" s="197" t="s">
        <v>393</v>
      </c>
      <c r="G1868" s="197" t="s">
        <v>688</v>
      </c>
    </row>
    <row r="1869" spans="1:7" hidden="1">
      <c r="A1869" s="197" t="s">
        <v>642</v>
      </c>
      <c r="B1869" s="198">
        <v>-127</v>
      </c>
      <c r="C1869" s="198">
        <v>0</v>
      </c>
      <c r="D1869" s="197" t="s">
        <v>442</v>
      </c>
      <c r="E1869" s="197" t="s">
        <v>639</v>
      </c>
      <c r="F1869" s="197" t="s">
        <v>393</v>
      </c>
      <c r="G1869" s="197" t="s">
        <v>688</v>
      </c>
    </row>
    <row r="1870" spans="1:7" hidden="1">
      <c r="A1870" s="197" t="s">
        <v>643</v>
      </c>
      <c r="B1870" s="198">
        <v>-2186</v>
      </c>
      <c r="C1870" s="198">
        <v>0</v>
      </c>
      <c r="D1870" s="197" t="s">
        <v>440</v>
      </c>
      <c r="E1870" s="197" t="s">
        <v>639</v>
      </c>
      <c r="F1870" s="197" t="s">
        <v>393</v>
      </c>
      <c r="G1870" s="197" t="s">
        <v>688</v>
      </c>
    </row>
    <row r="1871" spans="1:7" hidden="1">
      <c r="A1871" s="197" t="s">
        <v>377</v>
      </c>
      <c r="B1871" s="198">
        <v>110</v>
      </c>
      <c r="C1871" s="198">
        <v>0</v>
      </c>
      <c r="D1871" s="197" t="s">
        <v>283</v>
      </c>
      <c r="E1871" s="197" t="s">
        <v>639</v>
      </c>
      <c r="F1871" s="197" t="s">
        <v>393</v>
      </c>
      <c r="G1871" s="197" t="s">
        <v>688</v>
      </c>
    </row>
    <row r="1872" spans="1:7">
      <c r="A1872" s="197" t="s">
        <v>377</v>
      </c>
      <c r="B1872" s="198">
        <v>110</v>
      </c>
      <c r="C1872" s="198">
        <v>0</v>
      </c>
      <c r="D1872" s="197" t="s">
        <v>282</v>
      </c>
      <c r="E1872" s="197" t="s">
        <v>639</v>
      </c>
      <c r="F1872" s="197" t="s">
        <v>393</v>
      </c>
      <c r="G1872" s="197" t="s">
        <v>688</v>
      </c>
    </row>
    <row r="1873" spans="1:7" hidden="1">
      <c r="A1873" s="197" t="s">
        <v>379</v>
      </c>
      <c r="B1873" s="198">
        <v>439</v>
      </c>
      <c r="C1873" s="198">
        <v>0</v>
      </c>
      <c r="D1873" s="197" t="s">
        <v>283</v>
      </c>
      <c r="E1873" s="197" t="s">
        <v>639</v>
      </c>
      <c r="F1873" s="197" t="s">
        <v>393</v>
      </c>
      <c r="G1873" s="197" t="s">
        <v>688</v>
      </c>
    </row>
    <row r="1874" spans="1:7">
      <c r="A1874" s="197" t="s">
        <v>379</v>
      </c>
      <c r="B1874" s="198">
        <v>439</v>
      </c>
      <c r="C1874" s="198">
        <v>0</v>
      </c>
      <c r="D1874" s="197" t="s">
        <v>282</v>
      </c>
      <c r="E1874" s="197" t="s">
        <v>639</v>
      </c>
      <c r="F1874" s="197" t="s">
        <v>393</v>
      </c>
      <c r="G1874" s="197" t="s">
        <v>688</v>
      </c>
    </row>
    <row r="1875" spans="1:7" hidden="1">
      <c r="A1875" s="197" t="s">
        <v>380</v>
      </c>
      <c r="B1875" s="198">
        <v>450</v>
      </c>
      <c r="C1875" s="198">
        <v>0</v>
      </c>
      <c r="D1875" s="197" t="s">
        <v>283</v>
      </c>
      <c r="E1875" s="197" t="s">
        <v>639</v>
      </c>
      <c r="F1875" s="197" t="s">
        <v>393</v>
      </c>
      <c r="G1875" s="197" t="s">
        <v>688</v>
      </c>
    </row>
    <row r="1876" spans="1:7">
      <c r="A1876" s="197" t="s">
        <v>380</v>
      </c>
      <c r="B1876" s="198">
        <v>450</v>
      </c>
      <c r="C1876" s="198">
        <v>0</v>
      </c>
      <c r="D1876" s="197" t="s">
        <v>282</v>
      </c>
      <c r="E1876" s="197" t="s">
        <v>639</v>
      </c>
      <c r="F1876" s="197" t="s">
        <v>393</v>
      </c>
      <c r="G1876" s="197" t="s">
        <v>688</v>
      </c>
    </row>
    <row r="1877" spans="1:7" hidden="1">
      <c r="A1877" s="197" t="s">
        <v>1108</v>
      </c>
      <c r="B1877" s="198">
        <v>264800</v>
      </c>
      <c r="C1877" s="198">
        <v>0</v>
      </c>
      <c r="D1877" s="197" t="s">
        <v>440</v>
      </c>
      <c r="E1877" s="197" t="s">
        <v>638</v>
      </c>
      <c r="F1877" s="197" t="s">
        <v>652</v>
      </c>
      <c r="G1877" s="197" t="s">
        <v>688</v>
      </c>
    </row>
    <row r="1878" spans="1:7" hidden="1">
      <c r="A1878" s="197" t="s">
        <v>1109</v>
      </c>
      <c r="B1878" s="198">
        <v>28000</v>
      </c>
      <c r="C1878" s="198">
        <v>0</v>
      </c>
      <c r="D1878" s="197" t="s">
        <v>442</v>
      </c>
      <c r="E1878" s="197" t="s">
        <v>638</v>
      </c>
      <c r="F1878" s="197" t="s">
        <v>396</v>
      </c>
      <c r="G1878" s="197" t="s">
        <v>688</v>
      </c>
    </row>
    <row r="1879" spans="1:7" hidden="1">
      <c r="A1879" s="197" t="s">
        <v>1110</v>
      </c>
      <c r="B1879" s="198">
        <v>167000</v>
      </c>
      <c r="C1879" s="198">
        <v>0</v>
      </c>
      <c r="D1879" s="197" t="s">
        <v>440</v>
      </c>
      <c r="E1879" s="197" t="s">
        <v>638</v>
      </c>
      <c r="F1879" s="197" t="s">
        <v>652</v>
      </c>
      <c r="G1879" s="197" t="s">
        <v>688</v>
      </c>
    </row>
    <row r="1880" spans="1:7" hidden="1">
      <c r="A1880" s="197" t="s">
        <v>1111</v>
      </c>
      <c r="B1880" s="198">
        <v>44000</v>
      </c>
      <c r="C1880" s="198">
        <v>0</v>
      </c>
      <c r="D1880" s="197" t="s">
        <v>442</v>
      </c>
      <c r="E1880" s="197" t="s">
        <v>638</v>
      </c>
      <c r="F1880" s="197" t="s">
        <v>396</v>
      </c>
      <c r="G1880" s="197" t="s">
        <v>688</v>
      </c>
    </row>
    <row r="1881" spans="1:7" hidden="1">
      <c r="A1881" s="197" t="s">
        <v>1112</v>
      </c>
      <c r="B1881" s="198">
        <v>61900</v>
      </c>
      <c r="C1881" s="198">
        <v>0</v>
      </c>
      <c r="D1881" s="197" t="s">
        <v>442</v>
      </c>
      <c r="E1881" s="197" t="s">
        <v>638</v>
      </c>
      <c r="F1881" s="197" t="s">
        <v>396</v>
      </c>
      <c r="G1881" s="197" t="s">
        <v>688</v>
      </c>
    </row>
    <row r="1882" spans="1:7" hidden="1">
      <c r="A1882" s="197" t="s">
        <v>1113</v>
      </c>
      <c r="B1882" s="198">
        <v>54900</v>
      </c>
      <c r="C1882" s="198">
        <v>0</v>
      </c>
      <c r="D1882" s="197" t="s">
        <v>442</v>
      </c>
      <c r="E1882" s="197" t="s">
        <v>638</v>
      </c>
      <c r="F1882" s="197" t="s">
        <v>396</v>
      </c>
      <c r="G1882" s="197" t="s">
        <v>688</v>
      </c>
    </row>
    <row r="1883" spans="1:7" hidden="1">
      <c r="A1883" s="197" t="s">
        <v>1114</v>
      </c>
      <c r="B1883" s="198">
        <v>27700</v>
      </c>
      <c r="C1883" s="198">
        <v>0</v>
      </c>
      <c r="D1883" s="197" t="s">
        <v>442</v>
      </c>
      <c r="E1883" s="197" t="s">
        <v>638</v>
      </c>
      <c r="F1883" s="197" t="s">
        <v>396</v>
      </c>
      <c r="G1883" s="197" t="s">
        <v>688</v>
      </c>
    </row>
    <row r="1884" spans="1:7" hidden="1">
      <c r="A1884" s="197" t="s">
        <v>1115</v>
      </c>
      <c r="B1884" s="198">
        <v>102600</v>
      </c>
      <c r="C1884" s="198">
        <v>0</v>
      </c>
      <c r="D1884" s="197" t="s">
        <v>440</v>
      </c>
      <c r="E1884" s="197" t="s">
        <v>638</v>
      </c>
      <c r="F1884" s="197" t="s">
        <v>652</v>
      </c>
      <c r="G1884" s="197" t="s">
        <v>688</v>
      </c>
    </row>
    <row r="1885" spans="1:7" hidden="1">
      <c r="A1885" s="197" t="s">
        <v>1116</v>
      </c>
      <c r="B1885" s="198">
        <v>43000</v>
      </c>
      <c r="C1885" s="198">
        <v>0</v>
      </c>
      <c r="D1885" s="197" t="s">
        <v>442</v>
      </c>
      <c r="E1885" s="197" t="s">
        <v>638</v>
      </c>
      <c r="F1885" s="197" t="s">
        <v>396</v>
      </c>
      <c r="G1885" s="197" t="s">
        <v>688</v>
      </c>
    </row>
    <row r="1886" spans="1:7" hidden="1">
      <c r="A1886" s="197" t="s">
        <v>1117</v>
      </c>
      <c r="B1886" s="198">
        <v>55200</v>
      </c>
      <c r="C1886" s="198">
        <v>0</v>
      </c>
      <c r="D1886" s="197" t="s">
        <v>440</v>
      </c>
      <c r="E1886" s="197" t="s">
        <v>638</v>
      </c>
      <c r="F1886" s="197" t="s">
        <v>652</v>
      </c>
      <c r="G1886" s="197" t="s">
        <v>688</v>
      </c>
    </row>
    <row r="1887" spans="1:7" hidden="1">
      <c r="A1887" s="197" t="s">
        <v>1118</v>
      </c>
      <c r="B1887" s="198">
        <v>19200</v>
      </c>
      <c r="C1887" s="198">
        <v>0</v>
      </c>
      <c r="D1887" s="197" t="s">
        <v>442</v>
      </c>
      <c r="E1887" s="197" t="s">
        <v>638</v>
      </c>
      <c r="F1887" s="197" t="s">
        <v>396</v>
      </c>
      <c r="G1887" s="197" t="s">
        <v>688</v>
      </c>
    </row>
    <row r="1888" spans="1:7" hidden="1">
      <c r="A1888" s="197" t="s">
        <v>1119</v>
      </c>
      <c r="B1888" s="198">
        <v>37400</v>
      </c>
      <c r="C1888" s="198">
        <v>0</v>
      </c>
      <c r="D1888" s="197" t="s">
        <v>440</v>
      </c>
      <c r="E1888" s="197" t="s">
        <v>638</v>
      </c>
      <c r="F1888" s="197" t="s">
        <v>652</v>
      </c>
      <c r="G1888" s="197" t="s">
        <v>688</v>
      </c>
    </row>
    <row r="1889" spans="1:7" hidden="1">
      <c r="A1889" s="197" t="s">
        <v>1120</v>
      </c>
      <c r="B1889" s="198">
        <v>9400</v>
      </c>
      <c r="C1889" s="198">
        <v>0</v>
      </c>
      <c r="D1889" s="197" t="s">
        <v>440</v>
      </c>
      <c r="E1889" s="197" t="s">
        <v>638</v>
      </c>
      <c r="F1889" s="197" t="s">
        <v>652</v>
      </c>
      <c r="G1889" s="197" t="s">
        <v>688</v>
      </c>
    </row>
    <row r="1890" spans="1:7" hidden="1">
      <c r="A1890" s="197" t="s">
        <v>1121</v>
      </c>
      <c r="B1890" s="198">
        <v>17700</v>
      </c>
      <c r="C1890" s="198">
        <v>0</v>
      </c>
      <c r="D1890" s="197" t="s">
        <v>440</v>
      </c>
      <c r="E1890" s="197" t="s">
        <v>638</v>
      </c>
      <c r="F1890" s="197" t="s">
        <v>652</v>
      </c>
      <c r="G1890" s="197" t="s">
        <v>688</v>
      </c>
    </row>
    <row r="1891" spans="1:7" hidden="1">
      <c r="A1891" s="197" t="s">
        <v>1122</v>
      </c>
      <c r="B1891" s="198">
        <v>30100</v>
      </c>
      <c r="C1891" s="198">
        <v>0</v>
      </c>
      <c r="D1891" s="197" t="s">
        <v>440</v>
      </c>
      <c r="E1891" s="197" t="s">
        <v>638</v>
      </c>
      <c r="F1891" s="197" t="s">
        <v>652</v>
      </c>
      <c r="G1891" s="197" t="s">
        <v>688</v>
      </c>
    </row>
    <row r="1892" spans="1:7" hidden="1">
      <c r="A1892" s="197" t="s">
        <v>1123</v>
      </c>
      <c r="B1892" s="198">
        <v>29300</v>
      </c>
      <c r="C1892" s="198">
        <v>0</v>
      </c>
      <c r="D1892" s="197" t="s">
        <v>440</v>
      </c>
      <c r="E1892" s="197" t="s">
        <v>638</v>
      </c>
      <c r="F1892" s="197" t="s">
        <v>652</v>
      </c>
      <c r="G1892" s="197" t="s">
        <v>688</v>
      </c>
    </row>
    <row r="1893" spans="1:7" hidden="1">
      <c r="A1893" s="197" t="s">
        <v>1124</v>
      </c>
      <c r="B1893" s="198">
        <v>-2600</v>
      </c>
      <c r="C1893" s="198">
        <v>0</v>
      </c>
      <c r="D1893" s="197" t="s">
        <v>442</v>
      </c>
      <c r="E1893" s="197" t="s">
        <v>638</v>
      </c>
      <c r="F1893" s="197" t="s">
        <v>396</v>
      </c>
      <c r="G1893" s="197" t="s">
        <v>688</v>
      </c>
    </row>
    <row r="1894" spans="1:7" hidden="1">
      <c r="A1894" s="197" t="s">
        <v>1125</v>
      </c>
      <c r="B1894" s="198">
        <v>16700</v>
      </c>
      <c r="C1894" s="198">
        <v>0</v>
      </c>
      <c r="D1894" s="197" t="s">
        <v>440</v>
      </c>
      <c r="E1894" s="197" t="s">
        <v>638</v>
      </c>
      <c r="F1894" s="197" t="s">
        <v>652</v>
      </c>
      <c r="G1894" s="197" t="s">
        <v>688</v>
      </c>
    </row>
    <row r="1895" spans="1:7" hidden="1">
      <c r="A1895" s="197" t="s">
        <v>1126</v>
      </c>
      <c r="B1895" s="198">
        <v>44000</v>
      </c>
      <c r="C1895" s="198">
        <v>0</v>
      </c>
      <c r="D1895" s="197" t="s">
        <v>440</v>
      </c>
      <c r="E1895" s="197" t="s">
        <v>638</v>
      </c>
      <c r="F1895" s="197" t="s">
        <v>652</v>
      </c>
      <c r="G1895" s="197" t="s">
        <v>688</v>
      </c>
    </row>
    <row r="1896" spans="1:7" hidden="1">
      <c r="A1896" s="197" t="s">
        <v>1127</v>
      </c>
      <c r="B1896" s="198">
        <v>57400</v>
      </c>
      <c r="C1896" s="198">
        <v>0</v>
      </c>
      <c r="D1896" s="197" t="s">
        <v>440</v>
      </c>
      <c r="E1896" s="197" t="s">
        <v>638</v>
      </c>
      <c r="F1896" s="197" t="s">
        <v>652</v>
      </c>
      <c r="G1896" s="197" t="s">
        <v>688</v>
      </c>
    </row>
    <row r="1897" spans="1:7" hidden="1">
      <c r="A1897" s="197" t="s">
        <v>1128</v>
      </c>
      <c r="B1897" s="198">
        <v>9200</v>
      </c>
      <c r="C1897" s="198">
        <v>0</v>
      </c>
      <c r="D1897" s="197" t="s">
        <v>440</v>
      </c>
      <c r="E1897" s="197" t="s">
        <v>638</v>
      </c>
      <c r="F1897" s="197" t="s">
        <v>652</v>
      </c>
      <c r="G1897" s="197" t="s">
        <v>688</v>
      </c>
    </row>
    <row r="1898" spans="1:7" hidden="1">
      <c r="A1898" s="197" t="s">
        <v>1129</v>
      </c>
      <c r="B1898" s="198">
        <v>16400</v>
      </c>
      <c r="C1898" s="198">
        <v>0</v>
      </c>
      <c r="D1898" s="197" t="s">
        <v>440</v>
      </c>
      <c r="E1898" s="197" t="s">
        <v>638</v>
      </c>
      <c r="F1898" s="197" t="s">
        <v>652</v>
      </c>
      <c r="G1898" s="197" t="s">
        <v>688</v>
      </c>
    </row>
    <row r="1899" spans="1:7" hidden="1">
      <c r="A1899" s="197" t="s">
        <v>1130</v>
      </c>
      <c r="B1899" s="198">
        <v>16300</v>
      </c>
      <c r="C1899" s="198">
        <v>0</v>
      </c>
      <c r="D1899" s="197" t="s">
        <v>440</v>
      </c>
      <c r="E1899" s="197" t="s">
        <v>638</v>
      </c>
      <c r="F1899" s="197" t="s">
        <v>652</v>
      </c>
      <c r="G1899" s="197" t="s">
        <v>688</v>
      </c>
    </row>
    <row r="1900" spans="1:7" hidden="1">
      <c r="A1900" s="197" t="s">
        <v>1131</v>
      </c>
      <c r="B1900" s="198">
        <v>33500</v>
      </c>
      <c r="C1900" s="198">
        <v>0</v>
      </c>
      <c r="D1900" s="197" t="s">
        <v>440</v>
      </c>
      <c r="E1900" s="197" t="s">
        <v>638</v>
      </c>
      <c r="F1900" s="197" t="s">
        <v>652</v>
      </c>
      <c r="G1900" s="197" t="s">
        <v>688</v>
      </c>
    </row>
    <row r="1901" spans="1:7" hidden="1">
      <c r="A1901" s="197" t="s">
        <v>1132</v>
      </c>
      <c r="B1901" s="198">
        <v>25300</v>
      </c>
      <c r="C1901" s="198">
        <v>0</v>
      </c>
      <c r="D1901" s="197" t="s">
        <v>440</v>
      </c>
      <c r="E1901" s="197" t="s">
        <v>638</v>
      </c>
      <c r="F1901" s="197" t="s">
        <v>652</v>
      </c>
      <c r="G1901" s="197" t="s">
        <v>688</v>
      </c>
    </row>
    <row r="1902" spans="1:7" hidden="1">
      <c r="A1902" s="197" t="s">
        <v>1133</v>
      </c>
      <c r="B1902" s="198">
        <v>15600</v>
      </c>
      <c r="C1902" s="198">
        <v>0</v>
      </c>
      <c r="D1902" s="197" t="s">
        <v>440</v>
      </c>
      <c r="E1902" s="197" t="s">
        <v>638</v>
      </c>
      <c r="F1902" s="197" t="s">
        <v>652</v>
      </c>
      <c r="G1902" s="197" t="s">
        <v>688</v>
      </c>
    </row>
    <row r="1903" spans="1:7" hidden="1">
      <c r="A1903" s="197" t="s">
        <v>1134</v>
      </c>
      <c r="B1903" s="198">
        <v>7100</v>
      </c>
      <c r="C1903" s="198">
        <v>0</v>
      </c>
      <c r="D1903" s="197" t="s">
        <v>440</v>
      </c>
      <c r="E1903" s="197" t="s">
        <v>638</v>
      </c>
      <c r="F1903" s="197" t="s">
        <v>409</v>
      </c>
      <c r="G1903" s="197" t="s">
        <v>688</v>
      </c>
    </row>
    <row r="1904" spans="1:7" hidden="1">
      <c r="A1904" s="197" t="s">
        <v>1135</v>
      </c>
      <c r="B1904" s="198">
        <v>15000</v>
      </c>
      <c r="C1904" s="198">
        <v>0</v>
      </c>
      <c r="D1904" s="197" t="s">
        <v>440</v>
      </c>
      <c r="E1904" s="197" t="s">
        <v>638</v>
      </c>
      <c r="F1904" s="197" t="s">
        <v>652</v>
      </c>
      <c r="G1904" s="197" t="s">
        <v>688</v>
      </c>
    </row>
    <row r="1905" spans="1:7" hidden="1">
      <c r="A1905" s="197" t="s">
        <v>1136</v>
      </c>
      <c r="B1905" s="198">
        <v>20400</v>
      </c>
      <c r="C1905" s="198">
        <v>0</v>
      </c>
      <c r="D1905" s="197" t="s">
        <v>440</v>
      </c>
      <c r="E1905" s="197" t="s">
        <v>638</v>
      </c>
      <c r="F1905" s="197" t="s">
        <v>409</v>
      </c>
      <c r="G1905" s="197" t="s">
        <v>688</v>
      </c>
    </row>
    <row r="1906" spans="1:7" hidden="1">
      <c r="A1906" s="197" t="s">
        <v>1137</v>
      </c>
      <c r="B1906" s="198">
        <v>53900</v>
      </c>
      <c r="C1906" s="198">
        <v>0</v>
      </c>
      <c r="D1906" s="197" t="s">
        <v>440</v>
      </c>
      <c r="E1906" s="197" t="s">
        <v>638</v>
      </c>
      <c r="F1906" s="197" t="s">
        <v>652</v>
      </c>
      <c r="G1906" s="197" t="s">
        <v>688</v>
      </c>
    </row>
    <row r="1907" spans="1:7" hidden="1">
      <c r="A1907" s="197" t="s">
        <v>1138</v>
      </c>
      <c r="B1907" s="198">
        <v>55000</v>
      </c>
      <c r="C1907" s="198">
        <v>0</v>
      </c>
      <c r="D1907" s="197" t="s">
        <v>440</v>
      </c>
      <c r="E1907" s="197" t="s">
        <v>638</v>
      </c>
      <c r="F1907" s="197" t="s">
        <v>652</v>
      </c>
      <c r="G1907" s="197" t="s">
        <v>688</v>
      </c>
    </row>
    <row r="1908" spans="1:7" hidden="1">
      <c r="A1908" s="197" t="s">
        <v>1139</v>
      </c>
      <c r="B1908" s="198">
        <v>900</v>
      </c>
      <c r="C1908" s="198">
        <v>0</v>
      </c>
      <c r="D1908" s="197" t="s">
        <v>440</v>
      </c>
      <c r="E1908" s="197" t="s">
        <v>638</v>
      </c>
      <c r="F1908" s="197" t="s">
        <v>652</v>
      </c>
      <c r="G1908" s="197" t="s">
        <v>688</v>
      </c>
    </row>
    <row r="1909" spans="1:7" hidden="1">
      <c r="A1909" s="197" t="s">
        <v>1140</v>
      </c>
      <c r="B1909" s="198">
        <v>2090</v>
      </c>
      <c r="C1909" s="198">
        <v>0</v>
      </c>
      <c r="D1909" s="197" t="s">
        <v>442</v>
      </c>
      <c r="E1909" s="197" t="s">
        <v>638</v>
      </c>
      <c r="F1909" s="197" t="s">
        <v>396</v>
      </c>
      <c r="G1909" s="197" t="s">
        <v>688</v>
      </c>
    </row>
    <row r="1910" spans="1:7" hidden="1">
      <c r="A1910" s="197" t="s">
        <v>1141</v>
      </c>
      <c r="B1910" s="198">
        <v>4364</v>
      </c>
      <c r="C1910" s="198">
        <v>0</v>
      </c>
      <c r="D1910" s="197" t="s">
        <v>442</v>
      </c>
      <c r="E1910" s="197" t="s">
        <v>638</v>
      </c>
      <c r="F1910" s="197" t="s">
        <v>396</v>
      </c>
      <c r="G1910" s="197" t="s">
        <v>688</v>
      </c>
    </row>
    <row r="1911" spans="1:7" hidden="1">
      <c r="A1911" s="197" t="s">
        <v>1142</v>
      </c>
      <c r="B1911" s="198">
        <v>31800</v>
      </c>
      <c r="C1911" s="198">
        <v>0</v>
      </c>
      <c r="D1911" s="197" t="s">
        <v>440</v>
      </c>
      <c r="E1911" s="197" t="s">
        <v>638</v>
      </c>
      <c r="F1911" s="197" t="s">
        <v>652</v>
      </c>
      <c r="G1911" s="197" t="s">
        <v>688</v>
      </c>
    </row>
    <row r="1912" spans="1:7" hidden="1">
      <c r="A1912" s="197" t="s">
        <v>1143</v>
      </c>
      <c r="B1912" s="198">
        <v>2100</v>
      </c>
      <c r="C1912" s="198">
        <v>0</v>
      </c>
      <c r="D1912" s="197" t="s">
        <v>442</v>
      </c>
      <c r="E1912" s="197" t="s">
        <v>638</v>
      </c>
      <c r="F1912" s="197" t="s">
        <v>396</v>
      </c>
      <c r="G1912" s="197" t="s">
        <v>688</v>
      </c>
    </row>
    <row r="1913" spans="1:7" hidden="1">
      <c r="A1913" s="197" t="s">
        <v>1144</v>
      </c>
      <c r="B1913" s="198">
        <v>17500</v>
      </c>
      <c r="C1913" s="198">
        <v>0</v>
      </c>
      <c r="D1913" s="197" t="s">
        <v>440</v>
      </c>
      <c r="E1913" s="197" t="s">
        <v>638</v>
      </c>
      <c r="F1913" s="197" t="s">
        <v>652</v>
      </c>
      <c r="G1913" s="197" t="s">
        <v>688</v>
      </c>
    </row>
    <row r="1914" spans="1:7" hidden="1">
      <c r="A1914" s="197" t="s">
        <v>1145</v>
      </c>
      <c r="B1914" s="198">
        <v>2000</v>
      </c>
      <c r="C1914" s="198">
        <v>0</v>
      </c>
      <c r="D1914" s="197" t="s">
        <v>442</v>
      </c>
      <c r="E1914" s="197" t="s">
        <v>638</v>
      </c>
      <c r="F1914" s="197" t="s">
        <v>396</v>
      </c>
      <c r="G1914" s="197" t="s">
        <v>688</v>
      </c>
    </row>
    <row r="1915" spans="1:7" hidden="1">
      <c r="A1915" s="197" t="s">
        <v>1146</v>
      </c>
      <c r="B1915" s="198">
        <v>10500</v>
      </c>
      <c r="C1915" s="198">
        <v>0</v>
      </c>
      <c r="D1915" s="197" t="s">
        <v>440</v>
      </c>
      <c r="E1915" s="197" t="s">
        <v>638</v>
      </c>
      <c r="F1915" s="197" t="s">
        <v>652</v>
      </c>
      <c r="G1915" s="197" t="s">
        <v>688</v>
      </c>
    </row>
    <row r="1916" spans="1:7" hidden="1">
      <c r="A1916" s="197" t="s">
        <v>1147</v>
      </c>
      <c r="B1916" s="198">
        <v>10000</v>
      </c>
      <c r="C1916" s="198">
        <v>0</v>
      </c>
      <c r="D1916" s="197" t="s">
        <v>440</v>
      </c>
      <c r="E1916" s="197" t="s">
        <v>638</v>
      </c>
      <c r="F1916" s="197" t="s">
        <v>652</v>
      </c>
      <c r="G1916" s="197" t="s">
        <v>688</v>
      </c>
    </row>
    <row r="1917" spans="1:7" hidden="1">
      <c r="A1917" s="197" t="s">
        <v>1148</v>
      </c>
      <c r="B1917" s="198">
        <v>3400</v>
      </c>
      <c r="C1917" s="198">
        <v>0</v>
      </c>
      <c r="D1917" s="197" t="s">
        <v>442</v>
      </c>
      <c r="E1917" s="197" t="s">
        <v>638</v>
      </c>
      <c r="F1917" s="197" t="s">
        <v>396</v>
      </c>
      <c r="G1917" s="197" t="s">
        <v>688</v>
      </c>
    </row>
    <row r="1918" spans="1:7" hidden="1">
      <c r="A1918" s="197" t="s">
        <v>1149</v>
      </c>
      <c r="B1918" s="198">
        <v>10000</v>
      </c>
      <c r="C1918" s="198">
        <v>0</v>
      </c>
      <c r="D1918" s="197" t="s">
        <v>440</v>
      </c>
      <c r="E1918" s="197" t="s">
        <v>638</v>
      </c>
      <c r="F1918" s="197" t="s">
        <v>652</v>
      </c>
      <c r="G1918" s="197" t="s">
        <v>688</v>
      </c>
    </row>
    <row r="1919" spans="1:7" hidden="1">
      <c r="A1919" s="197" t="s">
        <v>1150</v>
      </c>
      <c r="B1919" s="198">
        <v>2400</v>
      </c>
      <c r="C1919" s="198">
        <v>0</v>
      </c>
      <c r="D1919" s="197" t="s">
        <v>442</v>
      </c>
      <c r="E1919" s="197" t="s">
        <v>638</v>
      </c>
      <c r="F1919" s="197" t="s">
        <v>396</v>
      </c>
      <c r="G1919" s="197" t="s">
        <v>688</v>
      </c>
    </row>
    <row r="1920" spans="1:7" hidden="1">
      <c r="A1920" s="197" t="s">
        <v>1151</v>
      </c>
      <c r="B1920" s="198">
        <v>5880</v>
      </c>
      <c r="C1920" s="198">
        <v>0</v>
      </c>
      <c r="D1920" s="197" t="s">
        <v>442</v>
      </c>
      <c r="E1920" s="197" t="s">
        <v>638</v>
      </c>
      <c r="F1920" s="197" t="s">
        <v>396</v>
      </c>
      <c r="G1920" s="197" t="s">
        <v>688</v>
      </c>
    </row>
    <row r="1921" spans="1:7" hidden="1">
      <c r="A1921" s="197" t="s">
        <v>1152</v>
      </c>
      <c r="B1921" s="198">
        <v>2900</v>
      </c>
      <c r="C1921" s="198">
        <v>0</v>
      </c>
      <c r="D1921" s="197" t="s">
        <v>442</v>
      </c>
      <c r="E1921" s="197" t="s">
        <v>638</v>
      </c>
      <c r="F1921" s="197" t="s">
        <v>396</v>
      </c>
      <c r="G1921" s="197" t="s">
        <v>688</v>
      </c>
    </row>
    <row r="1922" spans="1:7" hidden="1">
      <c r="A1922" s="197" t="s">
        <v>1153</v>
      </c>
      <c r="B1922" s="198">
        <v>5600</v>
      </c>
      <c r="C1922" s="198">
        <v>0</v>
      </c>
      <c r="D1922" s="197" t="s">
        <v>440</v>
      </c>
      <c r="E1922" s="197" t="s">
        <v>638</v>
      </c>
      <c r="F1922" s="197" t="s">
        <v>652</v>
      </c>
      <c r="G1922" s="197" t="s">
        <v>688</v>
      </c>
    </row>
    <row r="1923" spans="1:7" hidden="1">
      <c r="A1923" s="197" t="s">
        <v>1154</v>
      </c>
      <c r="B1923" s="198">
        <v>-40</v>
      </c>
      <c r="C1923" s="198">
        <v>0</v>
      </c>
      <c r="D1923" s="197" t="s">
        <v>440</v>
      </c>
      <c r="E1923" s="197" t="s">
        <v>639</v>
      </c>
      <c r="F1923" s="197" t="s">
        <v>409</v>
      </c>
      <c r="G1923" s="197" t="s">
        <v>688</v>
      </c>
    </row>
    <row r="1924" spans="1:7" hidden="1">
      <c r="A1924" s="197" t="s">
        <v>1155</v>
      </c>
      <c r="B1924" s="198">
        <v>-340</v>
      </c>
      <c r="C1924" s="198">
        <v>0</v>
      </c>
      <c r="D1924" s="197" t="s">
        <v>440</v>
      </c>
      <c r="E1924" s="197" t="s">
        <v>639</v>
      </c>
      <c r="F1924" s="197" t="s">
        <v>396</v>
      </c>
      <c r="G1924" s="197" t="s">
        <v>688</v>
      </c>
    </row>
    <row r="1925" spans="1:7" hidden="1">
      <c r="A1925" s="197" t="s">
        <v>1156</v>
      </c>
      <c r="B1925" s="198">
        <v>-417</v>
      </c>
      <c r="C1925" s="198">
        <v>0</v>
      </c>
      <c r="D1925" s="197" t="s">
        <v>440</v>
      </c>
      <c r="E1925" s="197" t="s">
        <v>639</v>
      </c>
      <c r="F1925" s="197" t="s">
        <v>409</v>
      </c>
      <c r="G1925" s="197" t="s">
        <v>688</v>
      </c>
    </row>
    <row r="1926" spans="1:7" hidden="1">
      <c r="A1926" s="197" t="s">
        <v>1156</v>
      </c>
      <c r="B1926" s="198">
        <v>-500</v>
      </c>
      <c r="C1926" s="198">
        <v>0</v>
      </c>
      <c r="D1926" s="197" t="s">
        <v>440</v>
      </c>
      <c r="E1926" s="197" t="s">
        <v>639</v>
      </c>
      <c r="F1926" s="197" t="s">
        <v>652</v>
      </c>
      <c r="G1926" s="197" t="s">
        <v>688</v>
      </c>
    </row>
    <row r="1927" spans="1:7" hidden="1">
      <c r="A1927" s="197" t="s">
        <v>1157</v>
      </c>
      <c r="B1927" s="198">
        <v>-410</v>
      </c>
      <c r="C1927" s="198">
        <v>0</v>
      </c>
      <c r="D1927" s="197" t="s">
        <v>440</v>
      </c>
      <c r="E1927" s="197" t="s">
        <v>639</v>
      </c>
      <c r="F1927" s="197" t="s">
        <v>396</v>
      </c>
      <c r="G1927" s="197" t="s">
        <v>688</v>
      </c>
    </row>
    <row r="1928" spans="1:7" hidden="1">
      <c r="A1928" s="197" t="s">
        <v>1158</v>
      </c>
      <c r="B1928" s="198">
        <v>-286</v>
      </c>
      <c r="C1928" s="198">
        <v>0</v>
      </c>
      <c r="D1928" s="197" t="s">
        <v>440</v>
      </c>
      <c r="E1928" s="197" t="s">
        <v>639</v>
      </c>
      <c r="F1928" s="197" t="s">
        <v>409</v>
      </c>
      <c r="G1928" s="197" t="s">
        <v>688</v>
      </c>
    </row>
    <row r="1929" spans="1:7" hidden="1">
      <c r="A1929" s="197" t="s">
        <v>1159</v>
      </c>
      <c r="B1929" s="198">
        <v>-410</v>
      </c>
      <c r="C1929" s="198">
        <v>0</v>
      </c>
      <c r="D1929" s="197" t="s">
        <v>440</v>
      </c>
      <c r="E1929" s="197" t="s">
        <v>639</v>
      </c>
      <c r="F1929" s="197" t="s">
        <v>396</v>
      </c>
      <c r="G1929" s="197" t="s">
        <v>688</v>
      </c>
    </row>
    <row r="1930" spans="1:7" hidden="1">
      <c r="A1930" s="197" t="s">
        <v>1160</v>
      </c>
      <c r="B1930" s="198">
        <v>-68</v>
      </c>
      <c r="C1930" s="198">
        <v>0</v>
      </c>
      <c r="D1930" s="197" t="s">
        <v>440</v>
      </c>
      <c r="E1930" s="197" t="s">
        <v>639</v>
      </c>
      <c r="F1930" s="197" t="s">
        <v>409</v>
      </c>
      <c r="G1930" s="197" t="s">
        <v>688</v>
      </c>
    </row>
    <row r="1931" spans="1:7" hidden="1">
      <c r="A1931" s="197" t="s">
        <v>1161</v>
      </c>
      <c r="B1931" s="198">
        <v>-20</v>
      </c>
      <c r="C1931" s="198">
        <v>0</v>
      </c>
      <c r="D1931" s="197" t="s">
        <v>440</v>
      </c>
      <c r="E1931" s="197" t="s">
        <v>639</v>
      </c>
      <c r="F1931" s="197" t="s">
        <v>409</v>
      </c>
      <c r="G1931" s="197" t="s">
        <v>688</v>
      </c>
    </row>
    <row r="1932" spans="1:7" hidden="1">
      <c r="A1932" s="197" t="s">
        <v>1162</v>
      </c>
      <c r="B1932" s="198">
        <v>-39</v>
      </c>
      <c r="C1932" s="198">
        <v>0</v>
      </c>
      <c r="D1932" s="197" t="s">
        <v>440</v>
      </c>
      <c r="E1932" s="197" t="s">
        <v>639</v>
      </c>
      <c r="F1932" s="197" t="s">
        <v>409</v>
      </c>
      <c r="G1932" s="197" t="s">
        <v>688</v>
      </c>
    </row>
    <row r="1933" spans="1:7" hidden="1">
      <c r="A1933" s="197" t="s">
        <v>1163</v>
      </c>
      <c r="B1933" s="198">
        <v>-103</v>
      </c>
      <c r="C1933" s="198">
        <v>0</v>
      </c>
      <c r="D1933" s="197" t="s">
        <v>440</v>
      </c>
      <c r="E1933" s="197" t="s">
        <v>639</v>
      </c>
      <c r="F1933" s="197" t="s">
        <v>409</v>
      </c>
      <c r="G1933" s="197" t="s">
        <v>688</v>
      </c>
    </row>
    <row r="1934" spans="1:7" hidden="1">
      <c r="A1934" s="197" t="s">
        <v>1164</v>
      </c>
      <c r="B1934" s="198">
        <v>-35</v>
      </c>
      <c r="C1934" s="198">
        <v>0</v>
      </c>
      <c r="D1934" s="197" t="s">
        <v>440</v>
      </c>
      <c r="E1934" s="197" t="s">
        <v>639</v>
      </c>
      <c r="F1934" s="197" t="s">
        <v>409</v>
      </c>
      <c r="G1934" s="197" t="s">
        <v>688</v>
      </c>
    </row>
    <row r="1935" spans="1:7" hidden="1">
      <c r="A1935" s="197" t="s">
        <v>1165</v>
      </c>
      <c r="B1935" s="198">
        <v>-95</v>
      </c>
      <c r="C1935" s="198">
        <v>0</v>
      </c>
      <c r="D1935" s="197" t="s">
        <v>440</v>
      </c>
      <c r="E1935" s="197" t="s">
        <v>639</v>
      </c>
      <c r="F1935" s="197" t="s">
        <v>409</v>
      </c>
      <c r="G1935" s="197" t="s">
        <v>688</v>
      </c>
    </row>
    <row r="1936" spans="1:7" hidden="1">
      <c r="A1936" s="197" t="s">
        <v>1166</v>
      </c>
      <c r="B1936" s="198">
        <v>-47</v>
      </c>
      <c r="C1936" s="198">
        <v>0</v>
      </c>
      <c r="D1936" s="197" t="s">
        <v>440</v>
      </c>
      <c r="E1936" s="197" t="s">
        <v>639</v>
      </c>
      <c r="F1936" s="197" t="s">
        <v>409</v>
      </c>
      <c r="G1936" s="197" t="s">
        <v>688</v>
      </c>
    </row>
    <row r="1937" spans="1:7" hidden="1">
      <c r="A1937" s="197" t="s">
        <v>1167</v>
      </c>
      <c r="B1937" s="198">
        <v>4100</v>
      </c>
      <c r="C1937" s="198">
        <v>0</v>
      </c>
      <c r="D1937" s="197" t="s">
        <v>442</v>
      </c>
      <c r="E1937" s="197" t="s">
        <v>638</v>
      </c>
      <c r="F1937" s="197" t="s">
        <v>396</v>
      </c>
      <c r="G1937" s="197" t="s">
        <v>688</v>
      </c>
    </row>
    <row r="1938" spans="1:7" hidden="1">
      <c r="A1938" s="197" t="s">
        <v>1168</v>
      </c>
      <c r="B1938" s="198">
        <v>4500</v>
      </c>
      <c r="C1938" s="198">
        <v>0</v>
      </c>
      <c r="D1938" s="197" t="s">
        <v>442</v>
      </c>
      <c r="E1938" s="197" t="s">
        <v>638</v>
      </c>
      <c r="F1938" s="197" t="s">
        <v>396</v>
      </c>
      <c r="G1938" s="197" t="s">
        <v>688</v>
      </c>
    </row>
    <row r="1939" spans="1:7" hidden="1">
      <c r="A1939" s="197" t="s">
        <v>1169</v>
      </c>
      <c r="B1939" s="198">
        <v>4800</v>
      </c>
      <c r="C1939" s="198">
        <v>0</v>
      </c>
      <c r="D1939" s="197" t="s">
        <v>442</v>
      </c>
      <c r="E1939" s="197" t="s">
        <v>638</v>
      </c>
      <c r="F1939" s="197" t="s">
        <v>396</v>
      </c>
      <c r="G1939" s="197" t="s">
        <v>688</v>
      </c>
    </row>
    <row r="1940" spans="1:7" hidden="1">
      <c r="A1940" s="197" t="s">
        <v>1170</v>
      </c>
      <c r="B1940" s="198">
        <v>12600</v>
      </c>
      <c r="C1940" s="198">
        <v>0</v>
      </c>
      <c r="D1940" s="197" t="s">
        <v>440</v>
      </c>
      <c r="E1940" s="197" t="s">
        <v>638</v>
      </c>
      <c r="F1940" s="197" t="s">
        <v>652</v>
      </c>
      <c r="G1940" s="197" t="s">
        <v>688</v>
      </c>
    </row>
    <row r="1941" spans="1:7" hidden="1">
      <c r="A1941" s="197" t="s">
        <v>1171</v>
      </c>
      <c r="B1941" s="198">
        <v>2600</v>
      </c>
      <c r="C1941" s="198">
        <v>0</v>
      </c>
      <c r="D1941" s="197" t="s">
        <v>442</v>
      </c>
      <c r="E1941" s="197" t="s">
        <v>638</v>
      </c>
      <c r="F1941" s="197" t="s">
        <v>396</v>
      </c>
      <c r="G1941" s="197" t="s">
        <v>688</v>
      </c>
    </row>
    <row r="1942" spans="1:7" hidden="1">
      <c r="A1942" s="197" t="s">
        <v>1172</v>
      </c>
      <c r="B1942" s="198">
        <v>5800</v>
      </c>
      <c r="C1942" s="198">
        <v>0</v>
      </c>
      <c r="D1942" s="197" t="s">
        <v>442</v>
      </c>
      <c r="E1942" s="197" t="s">
        <v>638</v>
      </c>
      <c r="F1942" s="197" t="s">
        <v>396</v>
      </c>
      <c r="G1942" s="197" t="s">
        <v>688</v>
      </c>
    </row>
    <row r="1943" spans="1:7" hidden="1">
      <c r="A1943" s="197" t="s">
        <v>1173</v>
      </c>
      <c r="B1943" s="198">
        <v>14800</v>
      </c>
      <c r="C1943" s="198">
        <v>0</v>
      </c>
      <c r="D1943" s="197" t="s">
        <v>440</v>
      </c>
      <c r="E1943" s="197" t="s">
        <v>638</v>
      </c>
      <c r="F1943" s="197" t="s">
        <v>652</v>
      </c>
      <c r="G1943" s="197" t="s">
        <v>688</v>
      </c>
    </row>
    <row r="1944" spans="1:7" hidden="1">
      <c r="A1944" s="197" t="s">
        <v>1174</v>
      </c>
      <c r="B1944" s="198">
        <v>1200</v>
      </c>
      <c r="C1944" s="198">
        <v>0</v>
      </c>
      <c r="D1944" s="197" t="s">
        <v>440</v>
      </c>
      <c r="E1944" s="197" t="s">
        <v>638</v>
      </c>
      <c r="F1944" s="197" t="s">
        <v>652</v>
      </c>
      <c r="G1944" s="197" t="s">
        <v>688</v>
      </c>
    </row>
    <row r="1945" spans="1:7" hidden="1">
      <c r="A1945" s="197" t="s">
        <v>1175</v>
      </c>
      <c r="B1945" s="198">
        <v>26900</v>
      </c>
      <c r="C1945" s="198">
        <v>0</v>
      </c>
      <c r="D1945" s="197" t="s">
        <v>440</v>
      </c>
      <c r="E1945" s="197" t="s">
        <v>638</v>
      </c>
      <c r="F1945" s="197" t="s">
        <v>652</v>
      </c>
      <c r="G1945" s="197" t="s">
        <v>688</v>
      </c>
    </row>
    <row r="1946" spans="1:7" hidden="1">
      <c r="A1946" s="197" t="s">
        <v>1176</v>
      </c>
      <c r="B1946" s="198">
        <v>1500</v>
      </c>
      <c r="C1946" s="198">
        <v>0</v>
      </c>
      <c r="D1946" s="197" t="s">
        <v>442</v>
      </c>
      <c r="E1946" s="197" t="s">
        <v>638</v>
      </c>
      <c r="F1946" s="197" t="s">
        <v>396</v>
      </c>
      <c r="G1946" s="197" t="s">
        <v>688</v>
      </c>
    </row>
    <row r="1947" spans="1:7" hidden="1">
      <c r="A1947" s="197" t="s">
        <v>1177</v>
      </c>
      <c r="B1947" s="198">
        <v>44500</v>
      </c>
      <c r="C1947" s="198">
        <v>0</v>
      </c>
      <c r="D1947" s="197" t="s">
        <v>440</v>
      </c>
      <c r="E1947" s="197" t="s">
        <v>638</v>
      </c>
      <c r="F1947" s="197" t="s">
        <v>652</v>
      </c>
      <c r="G1947" s="197" t="s">
        <v>688</v>
      </c>
    </row>
    <row r="1948" spans="1:7" hidden="1">
      <c r="A1948" s="197" t="s">
        <v>1178</v>
      </c>
      <c r="B1948" s="198">
        <v>10900</v>
      </c>
      <c r="C1948" s="198">
        <v>0</v>
      </c>
      <c r="D1948" s="197" t="s">
        <v>442</v>
      </c>
      <c r="E1948" s="197" t="s">
        <v>638</v>
      </c>
      <c r="F1948" s="197" t="s">
        <v>396</v>
      </c>
      <c r="G1948" s="197" t="s">
        <v>688</v>
      </c>
    </row>
    <row r="1949" spans="1:7" hidden="1">
      <c r="A1949" s="197" t="s">
        <v>1179</v>
      </c>
      <c r="B1949" s="198">
        <v>21122</v>
      </c>
      <c r="C1949" s="198">
        <v>0</v>
      </c>
      <c r="D1949" s="197" t="s">
        <v>440</v>
      </c>
      <c r="E1949" s="197" t="s">
        <v>638</v>
      </c>
      <c r="F1949" s="197" t="s">
        <v>652</v>
      </c>
      <c r="G1949" s="197" t="s">
        <v>688</v>
      </c>
    </row>
    <row r="1950" spans="1:7" hidden="1">
      <c r="A1950" s="197" t="s">
        <v>1180</v>
      </c>
      <c r="B1950" s="198">
        <v>56975</v>
      </c>
      <c r="C1950" s="198">
        <v>0</v>
      </c>
      <c r="D1950" s="197" t="s">
        <v>440</v>
      </c>
      <c r="E1950" s="197" t="s">
        <v>638</v>
      </c>
      <c r="F1950" s="197" t="s">
        <v>652</v>
      </c>
      <c r="G1950" s="197" t="s">
        <v>688</v>
      </c>
    </row>
    <row r="1951" spans="1:7" hidden="1">
      <c r="A1951" s="197" t="s">
        <v>1181</v>
      </c>
      <c r="B1951" s="198">
        <v>791910</v>
      </c>
      <c r="C1951" s="198">
        <v>0</v>
      </c>
      <c r="D1951" s="197" t="s">
        <v>440</v>
      </c>
      <c r="E1951" s="197" t="s">
        <v>638</v>
      </c>
      <c r="F1951" s="197" t="s">
        <v>652</v>
      </c>
      <c r="G1951" s="197" t="s">
        <v>688</v>
      </c>
    </row>
    <row r="1952" spans="1:7" hidden="1">
      <c r="A1952" s="197" t="s">
        <v>1182</v>
      </c>
      <c r="B1952" s="198">
        <v>29700</v>
      </c>
      <c r="C1952" s="198">
        <v>0</v>
      </c>
      <c r="D1952" s="197" t="s">
        <v>440</v>
      </c>
      <c r="E1952" s="197" t="s">
        <v>638</v>
      </c>
      <c r="F1952" s="197" t="s">
        <v>652</v>
      </c>
      <c r="G1952" s="197" t="s">
        <v>688</v>
      </c>
    </row>
    <row r="1953" spans="1:7" hidden="1">
      <c r="A1953" s="197" t="s">
        <v>1183</v>
      </c>
      <c r="B1953" s="198">
        <v>31900</v>
      </c>
      <c r="C1953" s="198">
        <v>0</v>
      </c>
      <c r="D1953" s="197" t="s">
        <v>440</v>
      </c>
      <c r="E1953" s="197" t="s">
        <v>638</v>
      </c>
      <c r="F1953" s="197" t="s">
        <v>652</v>
      </c>
      <c r="G1953" s="197" t="s">
        <v>688</v>
      </c>
    </row>
    <row r="1954" spans="1:7" hidden="1">
      <c r="A1954" s="197" t="s">
        <v>1184</v>
      </c>
      <c r="B1954" s="198">
        <v>106600</v>
      </c>
      <c r="C1954" s="198">
        <v>0</v>
      </c>
      <c r="D1954" s="197" t="s">
        <v>440</v>
      </c>
      <c r="E1954" s="197" t="s">
        <v>638</v>
      </c>
      <c r="F1954" s="197" t="s">
        <v>652</v>
      </c>
      <c r="G1954" s="197" t="s">
        <v>688</v>
      </c>
    </row>
    <row r="1955" spans="1:7" hidden="1">
      <c r="A1955" s="197" t="s">
        <v>1185</v>
      </c>
      <c r="B1955" s="198">
        <v>56700</v>
      </c>
      <c r="C1955" s="198">
        <v>0</v>
      </c>
      <c r="D1955" s="197" t="s">
        <v>440</v>
      </c>
      <c r="E1955" s="197" t="s">
        <v>638</v>
      </c>
      <c r="F1955" s="197" t="s">
        <v>652</v>
      </c>
      <c r="G1955" s="197" t="s">
        <v>688</v>
      </c>
    </row>
    <row r="1956" spans="1:7" hidden="1">
      <c r="A1956" s="197" t="s">
        <v>1186</v>
      </c>
      <c r="B1956" s="198">
        <v>143100</v>
      </c>
      <c r="C1956" s="198">
        <v>0</v>
      </c>
      <c r="D1956" s="197" t="s">
        <v>440</v>
      </c>
      <c r="E1956" s="197" t="s">
        <v>638</v>
      </c>
      <c r="F1956" s="197" t="s">
        <v>652</v>
      </c>
      <c r="G1956" s="197" t="s">
        <v>688</v>
      </c>
    </row>
    <row r="1957" spans="1:7" hidden="1">
      <c r="A1957" s="197" t="s">
        <v>1187</v>
      </c>
      <c r="B1957" s="198">
        <v>26400</v>
      </c>
      <c r="C1957" s="198">
        <v>0</v>
      </c>
      <c r="D1957" s="197" t="s">
        <v>440</v>
      </c>
      <c r="E1957" s="197" t="s">
        <v>638</v>
      </c>
      <c r="F1957" s="197" t="s">
        <v>652</v>
      </c>
      <c r="G1957" s="197" t="s">
        <v>688</v>
      </c>
    </row>
    <row r="1958" spans="1:7" hidden="1">
      <c r="A1958" s="197" t="s">
        <v>1188</v>
      </c>
      <c r="B1958" s="198">
        <v>259600</v>
      </c>
      <c r="C1958" s="198">
        <v>0</v>
      </c>
      <c r="D1958" s="197" t="s">
        <v>440</v>
      </c>
      <c r="E1958" s="197" t="s">
        <v>638</v>
      </c>
      <c r="F1958" s="197" t="s">
        <v>652</v>
      </c>
      <c r="G1958" s="197" t="s">
        <v>688</v>
      </c>
    </row>
    <row r="1959" spans="1:7" hidden="1">
      <c r="A1959" s="197" t="s">
        <v>1189</v>
      </c>
      <c r="B1959" s="198">
        <v>31400</v>
      </c>
      <c r="C1959" s="198">
        <v>0</v>
      </c>
      <c r="D1959" s="197" t="s">
        <v>440</v>
      </c>
      <c r="E1959" s="197" t="s">
        <v>638</v>
      </c>
      <c r="F1959" s="197" t="s">
        <v>652</v>
      </c>
      <c r="G1959" s="197" t="s">
        <v>688</v>
      </c>
    </row>
    <row r="1960" spans="1:7" hidden="1">
      <c r="A1960" s="197" t="s">
        <v>1190</v>
      </c>
      <c r="B1960" s="198">
        <v>25900</v>
      </c>
      <c r="C1960" s="198">
        <v>0</v>
      </c>
      <c r="D1960" s="197" t="s">
        <v>440</v>
      </c>
      <c r="E1960" s="197" t="s">
        <v>638</v>
      </c>
      <c r="F1960" s="197" t="s">
        <v>652</v>
      </c>
      <c r="G1960" s="197" t="s">
        <v>688</v>
      </c>
    </row>
    <row r="1961" spans="1:7" hidden="1">
      <c r="A1961" s="197" t="s">
        <v>1191</v>
      </c>
      <c r="B1961" s="198">
        <v>109200</v>
      </c>
      <c r="C1961" s="198">
        <v>0</v>
      </c>
      <c r="D1961" s="197" t="s">
        <v>440</v>
      </c>
      <c r="E1961" s="197" t="s">
        <v>638</v>
      </c>
      <c r="F1961" s="197" t="s">
        <v>652</v>
      </c>
      <c r="G1961" s="197" t="s">
        <v>688</v>
      </c>
    </row>
    <row r="1962" spans="1:7" hidden="1">
      <c r="A1962" s="197" t="s">
        <v>1192</v>
      </c>
      <c r="B1962" s="198">
        <v>50100</v>
      </c>
      <c r="C1962" s="198">
        <v>0</v>
      </c>
      <c r="D1962" s="197" t="s">
        <v>440</v>
      </c>
      <c r="E1962" s="197" t="s">
        <v>638</v>
      </c>
      <c r="F1962" s="197" t="s">
        <v>652</v>
      </c>
      <c r="G1962" s="197" t="s">
        <v>688</v>
      </c>
    </row>
    <row r="1963" spans="1:7" hidden="1">
      <c r="A1963" s="197" t="s">
        <v>1193</v>
      </c>
      <c r="B1963" s="198">
        <v>183800</v>
      </c>
      <c r="C1963" s="198">
        <v>0</v>
      </c>
      <c r="D1963" s="197" t="s">
        <v>440</v>
      </c>
      <c r="E1963" s="197" t="s">
        <v>638</v>
      </c>
      <c r="F1963" s="197" t="s">
        <v>652</v>
      </c>
      <c r="G1963" s="197" t="s">
        <v>688</v>
      </c>
    </row>
    <row r="1964" spans="1:7" hidden="1">
      <c r="A1964" s="197" t="s">
        <v>1194</v>
      </c>
      <c r="B1964" s="198">
        <v>24000</v>
      </c>
      <c r="C1964" s="198">
        <v>0</v>
      </c>
      <c r="D1964" s="197" t="s">
        <v>440</v>
      </c>
      <c r="E1964" s="197" t="s">
        <v>638</v>
      </c>
      <c r="F1964" s="197" t="s">
        <v>652</v>
      </c>
      <c r="G1964" s="197" t="s">
        <v>688</v>
      </c>
    </row>
    <row r="1965" spans="1:7" hidden="1">
      <c r="A1965" s="197" t="s">
        <v>1195</v>
      </c>
      <c r="B1965" s="198">
        <v>37700</v>
      </c>
      <c r="C1965" s="198">
        <v>0</v>
      </c>
      <c r="D1965" s="197" t="s">
        <v>440</v>
      </c>
      <c r="E1965" s="197" t="s">
        <v>638</v>
      </c>
      <c r="F1965" s="197" t="s">
        <v>652</v>
      </c>
      <c r="G1965" s="197" t="s">
        <v>688</v>
      </c>
    </row>
    <row r="1966" spans="1:7" hidden="1">
      <c r="A1966" s="197" t="s">
        <v>1196</v>
      </c>
      <c r="B1966" s="198">
        <v>50500</v>
      </c>
      <c r="C1966" s="198">
        <v>0</v>
      </c>
      <c r="D1966" s="197" t="s">
        <v>440</v>
      </c>
      <c r="E1966" s="197" t="s">
        <v>638</v>
      </c>
      <c r="F1966" s="197" t="s">
        <v>652</v>
      </c>
      <c r="G1966" s="197" t="s">
        <v>688</v>
      </c>
    </row>
    <row r="1967" spans="1:7" hidden="1">
      <c r="A1967" s="197" t="s">
        <v>1197</v>
      </c>
      <c r="B1967" s="198">
        <v>17400</v>
      </c>
      <c r="C1967" s="198">
        <v>0</v>
      </c>
      <c r="D1967" s="197" t="s">
        <v>440</v>
      </c>
      <c r="E1967" s="197" t="s">
        <v>638</v>
      </c>
      <c r="F1967" s="197" t="s">
        <v>652</v>
      </c>
      <c r="G1967" s="197" t="s">
        <v>688</v>
      </c>
    </row>
    <row r="1968" spans="1:7" hidden="1">
      <c r="A1968" s="197" t="s">
        <v>1198</v>
      </c>
      <c r="B1968" s="198">
        <v>3000</v>
      </c>
      <c r="C1968" s="198">
        <v>0</v>
      </c>
      <c r="D1968" s="197" t="s">
        <v>442</v>
      </c>
      <c r="E1968" s="197" t="s">
        <v>638</v>
      </c>
      <c r="F1968" s="197" t="s">
        <v>396</v>
      </c>
      <c r="G1968" s="197" t="s">
        <v>688</v>
      </c>
    </row>
    <row r="1969" spans="1:7" hidden="1">
      <c r="A1969" s="197" t="s">
        <v>1199</v>
      </c>
      <c r="B1969" s="198">
        <v>61600</v>
      </c>
      <c r="C1969" s="198">
        <v>0</v>
      </c>
      <c r="D1969" s="197" t="s">
        <v>440</v>
      </c>
      <c r="E1969" s="197" t="s">
        <v>638</v>
      </c>
      <c r="F1969" s="197" t="s">
        <v>652</v>
      </c>
      <c r="G1969" s="197" t="s">
        <v>688</v>
      </c>
    </row>
    <row r="1970" spans="1:7" hidden="1">
      <c r="A1970" s="197" t="s">
        <v>1200</v>
      </c>
      <c r="B1970" s="198">
        <v>25200</v>
      </c>
      <c r="C1970" s="198">
        <v>0</v>
      </c>
      <c r="D1970" s="197" t="s">
        <v>440</v>
      </c>
      <c r="E1970" s="197" t="s">
        <v>638</v>
      </c>
      <c r="F1970" s="197" t="s">
        <v>652</v>
      </c>
      <c r="G1970" s="197" t="s">
        <v>688</v>
      </c>
    </row>
    <row r="1971" spans="1:7" hidden="1">
      <c r="A1971" s="197" t="s">
        <v>1201</v>
      </c>
      <c r="B1971" s="198">
        <v>47000</v>
      </c>
      <c r="C1971" s="198">
        <v>0</v>
      </c>
      <c r="D1971" s="197" t="s">
        <v>440</v>
      </c>
      <c r="E1971" s="197" t="s">
        <v>638</v>
      </c>
      <c r="F1971" s="197" t="s">
        <v>652</v>
      </c>
      <c r="G1971" s="197" t="s">
        <v>688</v>
      </c>
    </row>
    <row r="1972" spans="1:7" hidden="1">
      <c r="A1972" s="197" t="s">
        <v>1202</v>
      </c>
      <c r="B1972" s="198">
        <v>3200</v>
      </c>
      <c r="C1972" s="198">
        <v>0</v>
      </c>
      <c r="D1972" s="197" t="s">
        <v>442</v>
      </c>
      <c r="E1972" s="197" t="s">
        <v>638</v>
      </c>
      <c r="F1972" s="197" t="s">
        <v>396</v>
      </c>
      <c r="G1972" s="197" t="s">
        <v>688</v>
      </c>
    </row>
    <row r="1973" spans="1:7" hidden="1">
      <c r="A1973" s="197" t="s">
        <v>1203</v>
      </c>
      <c r="B1973" s="198">
        <v>8400</v>
      </c>
      <c r="C1973" s="198">
        <v>0</v>
      </c>
      <c r="D1973" s="197" t="s">
        <v>442</v>
      </c>
      <c r="E1973" s="197" t="s">
        <v>638</v>
      </c>
      <c r="F1973" s="197" t="s">
        <v>396</v>
      </c>
      <c r="G1973" s="197" t="s">
        <v>688</v>
      </c>
    </row>
    <row r="1974" spans="1:7" hidden="1">
      <c r="A1974" s="197" t="s">
        <v>1204</v>
      </c>
      <c r="B1974" s="198">
        <v>13400</v>
      </c>
      <c r="C1974" s="198">
        <v>0</v>
      </c>
      <c r="D1974" s="197" t="s">
        <v>440</v>
      </c>
      <c r="E1974" s="197" t="s">
        <v>638</v>
      </c>
      <c r="F1974" s="197" t="s">
        <v>652</v>
      </c>
      <c r="G1974" s="197" t="s">
        <v>688</v>
      </c>
    </row>
    <row r="1975" spans="1:7" hidden="1">
      <c r="A1975" s="197" t="s">
        <v>1205</v>
      </c>
      <c r="B1975" s="198">
        <v>30000</v>
      </c>
      <c r="C1975" s="198">
        <v>0</v>
      </c>
      <c r="D1975" s="197" t="s">
        <v>440</v>
      </c>
      <c r="E1975" s="197" t="s">
        <v>638</v>
      </c>
      <c r="F1975" s="197" t="s">
        <v>652</v>
      </c>
      <c r="G1975" s="197" t="s">
        <v>688</v>
      </c>
    </row>
    <row r="1976" spans="1:7" hidden="1">
      <c r="A1976" s="197" t="s">
        <v>1206</v>
      </c>
      <c r="B1976" s="198">
        <v>25700</v>
      </c>
      <c r="C1976" s="198">
        <v>0</v>
      </c>
      <c r="D1976" s="197" t="s">
        <v>440</v>
      </c>
      <c r="E1976" s="197" t="s">
        <v>638</v>
      </c>
      <c r="F1976" s="197" t="s">
        <v>652</v>
      </c>
      <c r="G1976" s="197" t="s">
        <v>688</v>
      </c>
    </row>
    <row r="1977" spans="1:7" hidden="1">
      <c r="A1977" s="197" t="s">
        <v>1207</v>
      </c>
      <c r="B1977" s="198">
        <v>31000</v>
      </c>
      <c r="C1977" s="198">
        <v>0</v>
      </c>
      <c r="D1977" s="197" t="s">
        <v>440</v>
      </c>
      <c r="E1977" s="197" t="s">
        <v>638</v>
      </c>
      <c r="F1977" s="197" t="s">
        <v>409</v>
      </c>
      <c r="G1977" s="197" t="s">
        <v>688</v>
      </c>
    </row>
    <row r="1978" spans="1:7" hidden="1">
      <c r="A1978" s="197" t="s">
        <v>1208</v>
      </c>
      <c r="B1978" s="198">
        <v>25500</v>
      </c>
      <c r="C1978" s="198">
        <v>0</v>
      </c>
      <c r="D1978" s="197" t="s">
        <v>440</v>
      </c>
      <c r="E1978" s="197" t="s">
        <v>638</v>
      </c>
      <c r="F1978" s="197" t="s">
        <v>652</v>
      </c>
      <c r="G1978" s="197" t="s">
        <v>688</v>
      </c>
    </row>
    <row r="1979" spans="1:7" hidden="1">
      <c r="A1979" s="197" t="s">
        <v>1209</v>
      </c>
      <c r="B1979" s="198">
        <v>24300</v>
      </c>
      <c r="C1979" s="198">
        <v>0</v>
      </c>
      <c r="D1979" s="197" t="s">
        <v>440</v>
      </c>
      <c r="E1979" s="197" t="s">
        <v>638</v>
      </c>
      <c r="F1979" s="197" t="s">
        <v>652</v>
      </c>
      <c r="G1979" s="197" t="s">
        <v>688</v>
      </c>
    </row>
    <row r="1980" spans="1:7" hidden="1">
      <c r="A1980" s="197" t="s">
        <v>1210</v>
      </c>
      <c r="B1980" s="198">
        <v>2500</v>
      </c>
      <c r="C1980" s="198">
        <v>0</v>
      </c>
      <c r="D1980" s="197" t="s">
        <v>442</v>
      </c>
      <c r="E1980" s="197" t="s">
        <v>638</v>
      </c>
      <c r="F1980" s="197" t="s">
        <v>396</v>
      </c>
      <c r="G1980" s="197" t="s">
        <v>688</v>
      </c>
    </row>
    <row r="1981" spans="1:7" hidden="1">
      <c r="A1981" s="197" t="s">
        <v>1211</v>
      </c>
      <c r="B1981" s="198">
        <v>81400</v>
      </c>
      <c r="C1981" s="198">
        <v>0</v>
      </c>
      <c r="D1981" s="197" t="s">
        <v>440</v>
      </c>
      <c r="E1981" s="197" t="s">
        <v>638</v>
      </c>
      <c r="F1981" s="197" t="s">
        <v>652</v>
      </c>
      <c r="G1981" s="197" t="s">
        <v>688</v>
      </c>
    </row>
    <row r="1982" spans="1:7" hidden="1">
      <c r="A1982" s="197" t="s">
        <v>1212</v>
      </c>
      <c r="B1982" s="198">
        <v>26800</v>
      </c>
      <c r="C1982" s="198">
        <v>0</v>
      </c>
      <c r="D1982" s="197" t="s">
        <v>440</v>
      </c>
      <c r="E1982" s="197" t="s">
        <v>638</v>
      </c>
      <c r="F1982" s="197" t="s">
        <v>652</v>
      </c>
      <c r="G1982" s="197" t="s">
        <v>688</v>
      </c>
    </row>
    <row r="1983" spans="1:7" hidden="1">
      <c r="A1983" s="197" t="s">
        <v>1213</v>
      </c>
      <c r="B1983" s="198">
        <v>113600</v>
      </c>
      <c r="C1983" s="198">
        <v>0</v>
      </c>
      <c r="D1983" s="197" t="s">
        <v>440</v>
      </c>
      <c r="E1983" s="197" t="s">
        <v>638</v>
      </c>
      <c r="F1983" s="197" t="s">
        <v>409</v>
      </c>
      <c r="G1983" s="197" t="s">
        <v>688</v>
      </c>
    </row>
    <row r="1984" spans="1:7" hidden="1">
      <c r="A1984" s="197" t="s">
        <v>1214</v>
      </c>
      <c r="B1984" s="198">
        <v>5800</v>
      </c>
      <c r="C1984" s="198">
        <v>0</v>
      </c>
      <c r="D1984" s="197" t="s">
        <v>440</v>
      </c>
      <c r="E1984" s="197" t="s">
        <v>638</v>
      </c>
      <c r="F1984" s="197" t="s">
        <v>652</v>
      </c>
      <c r="G1984" s="197" t="s">
        <v>688</v>
      </c>
    </row>
    <row r="1985" spans="1:7" hidden="1">
      <c r="A1985" s="197" t="s">
        <v>1215</v>
      </c>
      <c r="B1985" s="198">
        <v>9300</v>
      </c>
      <c r="C1985" s="198">
        <v>0</v>
      </c>
      <c r="D1985" s="197" t="s">
        <v>442</v>
      </c>
      <c r="E1985" s="197" t="s">
        <v>638</v>
      </c>
      <c r="F1985" s="197" t="s">
        <v>396</v>
      </c>
      <c r="G1985" s="197" t="s">
        <v>688</v>
      </c>
    </row>
    <row r="1986" spans="1:7" hidden="1">
      <c r="A1986" s="197" t="s">
        <v>1216</v>
      </c>
      <c r="B1986" s="198">
        <v>74000</v>
      </c>
      <c r="C1986" s="198">
        <v>0</v>
      </c>
      <c r="D1986" s="197" t="s">
        <v>440</v>
      </c>
      <c r="E1986" s="197" t="s">
        <v>638</v>
      </c>
      <c r="F1986" s="197" t="s">
        <v>652</v>
      </c>
      <c r="G1986" s="197" t="s">
        <v>688</v>
      </c>
    </row>
    <row r="1987" spans="1:7" hidden="1">
      <c r="A1987" s="197" t="s">
        <v>1217</v>
      </c>
      <c r="B1987" s="198">
        <v>64000</v>
      </c>
      <c r="C1987" s="198">
        <v>0</v>
      </c>
      <c r="D1987" s="197" t="s">
        <v>440</v>
      </c>
      <c r="E1987" s="197" t="s">
        <v>638</v>
      </c>
      <c r="F1987" s="197" t="s">
        <v>652</v>
      </c>
      <c r="G1987" s="197" t="s">
        <v>688</v>
      </c>
    </row>
    <row r="1988" spans="1:7" hidden="1">
      <c r="A1988" s="197" t="s">
        <v>1218</v>
      </c>
      <c r="B1988" s="198">
        <v>153300</v>
      </c>
      <c r="C1988" s="198">
        <v>0</v>
      </c>
      <c r="D1988" s="197" t="s">
        <v>440</v>
      </c>
      <c r="E1988" s="197" t="s">
        <v>638</v>
      </c>
      <c r="F1988" s="197" t="s">
        <v>652</v>
      </c>
      <c r="G1988" s="197" t="s">
        <v>688</v>
      </c>
    </row>
    <row r="1989" spans="1:7" hidden="1">
      <c r="A1989" s="197" t="s">
        <v>1219</v>
      </c>
      <c r="B1989" s="198">
        <v>119000</v>
      </c>
      <c r="C1989" s="198">
        <v>0</v>
      </c>
      <c r="D1989" s="197" t="s">
        <v>440</v>
      </c>
      <c r="E1989" s="197" t="s">
        <v>638</v>
      </c>
      <c r="F1989" s="197" t="s">
        <v>652</v>
      </c>
      <c r="G1989" s="197" t="s">
        <v>688</v>
      </c>
    </row>
    <row r="1990" spans="1:7" hidden="1">
      <c r="A1990" s="197" t="s">
        <v>1220</v>
      </c>
      <c r="B1990" s="198">
        <v>58900</v>
      </c>
      <c r="C1990" s="198">
        <v>0</v>
      </c>
      <c r="D1990" s="197" t="s">
        <v>440</v>
      </c>
      <c r="E1990" s="197" t="s">
        <v>638</v>
      </c>
      <c r="F1990" s="197" t="s">
        <v>652</v>
      </c>
      <c r="G1990" s="197" t="s">
        <v>688</v>
      </c>
    </row>
    <row r="1991" spans="1:7" hidden="1">
      <c r="A1991" s="197" t="s">
        <v>1221</v>
      </c>
      <c r="B1991" s="198">
        <v>64700</v>
      </c>
      <c r="C1991" s="198">
        <v>0</v>
      </c>
      <c r="D1991" s="197" t="s">
        <v>442</v>
      </c>
      <c r="E1991" s="197" t="s">
        <v>638</v>
      </c>
      <c r="F1991" s="197" t="s">
        <v>396</v>
      </c>
      <c r="G1991" s="197" t="s">
        <v>688</v>
      </c>
    </row>
    <row r="1992" spans="1:7" hidden="1">
      <c r="A1992" s="197" t="s">
        <v>1222</v>
      </c>
      <c r="B1992" s="198">
        <v>2900</v>
      </c>
      <c r="C1992" s="198">
        <v>0</v>
      </c>
      <c r="D1992" s="197" t="s">
        <v>442</v>
      </c>
      <c r="E1992" s="197" t="s">
        <v>638</v>
      </c>
      <c r="F1992" s="197" t="s">
        <v>396</v>
      </c>
      <c r="G1992" s="197" t="s">
        <v>688</v>
      </c>
    </row>
    <row r="1993" spans="1:7" hidden="1">
      <c r="A1993" s="197" t="s">
        <v>1223</v>
      </c>
      <c r="B1993" s="198">
        <v>18800</v>
      </c>
      <c r="C1993" s="198">
        <v>0</v>
      </c>
      <c r="D1993" s="197" t="s">
        <v>440</v>
      </c>
      <c r="E1993" s="197" t="s">
        <v>638</v>
      </c>
      <c r="F1993" s="197" t="s">
        <v>652</v>
      </c>
      <c r="G1993" s="197" t="s">
        <v>688</v>
      </c>
    </row>
    <row r="1994" spans="1:7" hidden="1">
      <c r="A1994" s="197" t="s">
        <v>1224</v>
      </c>
      <c r="B1994" s="198">
        <v>7700</v>
      </c>
      <c r="C1994" s="198">
        <v>0</v>
      </c>
      <c r="D1994" s="197" t="s">
        <v>440</v>
      </c>
      <c r="E1994" s="197" t="s">
        <v>638</v>
      </c>
      <c r="F1994" s="197" t="s">
        <v>652</v>
      </c>
      <c r="G1994" s="197" t="s">
        <v>688</v>
      </c>
    </row>
    <row r="1995" spans="1:7" hidden="1">
      <c r="A1995" s="197" t="s">
        <v>1225</v>
      </c>
      <c r="B1995" s="198">
        <v>4000</v>
      </c>
      <c r="C1995" s="198">
        <v>0</v>
      </c>
      <c r="D1995" s="197" t="s">
        <v>442</v>
      </c>
      <c r="E1995" s="197" t="s">
        <v>638</v>
      </c>
      <c r="F1995" s="197" t="s">
        <v>396</v>
      </c>
      <c r="G1995" s="197" t="s">
        <v>688</v>
      </c>
    </row>
    <row r="1996" spans="1:7" hidden="1">
      <c r="A1996" s="197" t="s">
        <v>1226</v>
      </c>
      <c r="B1996" s="198">
        <v>13200</v>
      </c>
      <c r="C1996" s="198">
        <v>0</v>
      </c>
      <c r="D1996" s="197" t="s">
        <v>440</v>
      </c>
      <c r="E1996" s="197" t="s">
        <v>638</v>
      </c>
      <c r="F1996" s="197" t="s">
        <v>652</v>
      </c>
      <c r="G1996" s="197" t="s">
        <v>688</v>
      </c>
    </row>
    <row r="1997" spans="1:7" hidden="1">
      <c r="A1997" s="197" t="s">
        <v>1227</v>
      </c>
      <c r="B1997" s="198">
        <v>44300</v>
      </c>
      <c r="C1997" s="198">
        <v>0</v>
      </c>
      <c r="D1997" s="197" t="s">
        <v>440</v>
      </c>
      <c r="E1997" s="197" t="s">
        <v>638</v>
      </c>
      <c r="F1997" s="197" t="s">
        <v>652</v>
      </c>
      <c r="G1997" s="197" t="s">
        <v>688</v>
      </c>
    </row>
    <row r="1998" spans="1:7" hidden="1">
      <c r="A1998" s="197" t="s">
        <v>644</v>
      </c>
      <c r="B1998" s="198">
        <v>-118</v>
      </c>
      <c r="C1998" s="198">
        <v>0</v>
      </c>
      <c r="D1998" s="197" t="s">
        <v>440</v>
      </c>
      <c r="E1998" s="197" t="s">
        <v>638</v>
      </c>
      <c r="F1998" s="197" t="s">
        <v>409</v>
      </c>
      <c r="G1998" s="197" t="s">
        <v>688</v>
      </c>
    </row>
    <row r="1999" spans="1:7" hidden="1">
      <c r="A1999" s="197" t="s">
        <v>646</v>
      </c>
      <c r="B1999" s="198">
        <v>-619</v>
      </c>
      <c r="C1999" s="198">
        <v>0</v>
      </c>
      <c r="D1999" s="197" t="s">
        <v>440</v>
      </c>
      <c r="E1999" s="197" t="s">
        <v>638</v>
      </c>
      <c r="F1999" s="197" t="s">
        <v>409</v>
      </c>
      <c r="G1999" s="197" t="s">
        <v>688</v>
      </c>
    </row>
    <row r="2000" spans="1:7" hidden="1">
      <c r="A2000" s="197" t="s">
        <v>647</v>
      </c>
      <c r="B2000" s="198">
        <v>-157</v>
      </c>
      <c r="C2000" s="198">
        <v>0</v>
      </c>
      <c r="D2000" s="197" t="s">
        <v>440</v>
      </c>
      <c r="E2000" s="197" t="s">
        <v>638</v>
      </c>
      <c r="F2000" s="197" t="s">
        <v>409</v>
      </c>
      <c r="G2000" s="197" t="s">
        <v>688</v>
      </c>
    </row>
    <row r="2001" spans="1:7" hidden="1">
      <c r="A2001" s="197" t="s">
        <v>648</v>
      </c>
      <c r="B2001" s="198">
        <v>-169</v>
      </c>
      <c r="C2001" s="198">
        <v>0</v>
      </c>
      <c r="D2001" s="197" t="s">
        <v>440</v>
      </c>
      <c r="E2001" s="197" t="s">
        <v>638</v>
      </c>
      <c r="F2001" s="197" t="s">
        <v>409</v>
      </c>
      <c r="G2001" s="197" t="s">
        <v>688</v>
      </c>
    </row>
    <row r="2002" spans="1:7" hidden="1">
      <c r="A2002" s="197" t="s">
        <v>649</v>
      </c>
      <c r="B2002" s="198">
        <v>-168</v>
      </c>
      <c r="C2002" s="198">
        <v>0</v>
      </c>
      <c r="D2002" s="197" t="s">
        <v>440</v>
      </c>
      <c r="E2002" s="197" t="s">
        <v>638</v>
      </c>
      <c r="F2002" s="197" t="s">
        <v>409</v>
      </c>
      <c r="G2002" s="197" t="s">
        <v>688</v>
      </c>
    </row>
    <row r="2003" spans="1:7" hidden="1">
      <c r="A2003" s="197" t="s">
        <v>650</v>
      </c>
      <c r="B2003" s="198">
        <v>-234</v>
      </c>
      <c r="C2003" s="198">
        <v>0</v>
      </c>
      <c r="D2003" s="197" t="s">
        <v>440</v>
      </c>
      <c r="E2003" s="197" t="s">
        <v>638</v>
      </c>
      <c r="F2003" s="197" t="s">
        <v>409</v>
      </c>
      <c r="G2003" s="197" t="s">
        <v>688</v>
      </c>
    </row>
    <row r="2004" spans="1:7" hidden="1">
      <c r="A2004" s="197" t="s">
        <v>651</v>
      </c>
      <c r="B2004" s="198">
        <v>-118</v>
      </c>
      <c r="C2004" s="198">
        <v>0</v>
      </c>
      <c r="D2004" s="197" t="s">
        <v>440</v>
      </c>
      <c r="E2004" s="197" t="s">
        <v>638</v>
      </c>
      <c r="F2004" s="197" t="s">
        <v>409</v>
      </c>
      <c r="G2004" s="197" t="s">
        <v>688</v>
      </c>
    </row>
    <row r="2005" spans="1:7" hidden="1">
      <c r="A2005" s="197" t="s">
        <v>1228</v>
      </c>
      <c r="B2005" s="198">
        <v>93100</v>
      </c>
      <c r="C2005" s="198">
        <v>0</v>
      </c>
      <c r="D2005" s="197" t="s">
        <v>440</v>
      </c>
      <c r="E2005" s="197" t="s">
        <v>638</v>
      </c>
      <c r="F2005" s="197" t="s">
        <v>652</v>
      </c>
      <c r="G2005" s="197" t="s">
        <v>688</v>
      </c>
    </row>
    <row r="2006" spans="1:7" hidden="1">
      <c r="A2006" s="197" t="s">
        <v>1229</v>
      </c>
      <c r="B2006" s="198">
        <v>21000</v>
      </c>
      <c r="C2006" s="198">
        <v>0</v>
      </c>
      <c r="D2006" s="197" t="s">
        <v>440</v>
      </c>
      <c r="E2006" s="197" t="s">
        <v>638</v>
      </c>
      <c r="F2006" s="197" t="s">
        <v>652</v>
      </c>
      <c r="G2006" s="197" t="s">
        <v>688</v>
      </c>
    </row>
    <row r="2007" spans="1:7" hidden="1">
      <c r="A2007" s="197" t="s">
        <v>1230</v>
      </c>
      <c r="B2007" s="198">
        <v>33300</v>
      </c>
      <c r="C2007" s="198">
        <v>0</v>
      </c>
      <c r="D2007" s="197" t="s">
        <v>440</v>
      </c>
      <c r="E2007" s="197" t="s">
        <v>638</v>
      </c>
      <c r="F2007" s="197" t="s">
        <v>652</v>
      </c>
      <c r="G2007" s="197" t="s">
        <v>688</v>
      </c>
    </row>
    <row r="2008" spans="1:7" hidden="1">
      <c r="A2008" s="197" t="s">
        <v>1231</v>
      </c>
      <c r="B2008" s="198">
        <v>3000</v>
      </c>
      <c r="C2008" s="198">
        <v>0</v>
      </c>
      <c r="D2008" s="197" t="s">
        <v>442</v>
      </c>
      <c r="E2008" s="197" t="s">
        <v>638</v>
      </c>
      <c r="F2008" s="197" t="s">
        <v>396</v>
      </c>
      <c r="G2008" s="197" t="s">
        <v>688</v>
      </c>
    </row>
    <row r="2009" spans="1:7" hidden="1">
      <c r="A2009" s="197" t="s">
        <v>1232</v>
      </c>
      <c r="B2009" s="198">
        <v>900</v>
      </c>
      <c r="C2009" s="198">
        <v>0</v>
      </c>
      <c r="D2009" s="197" t="s">
        <v>442</v>
      </c>
      <c r="E2009" s="197" t="s">
        <v>638</v>
      </c>
      <c r="F2009" s="197" t="s">
        <v>396</v>
      </c>
      <c r="G2009" s="197" t="s">
        <v>688</v>
      </c>
    </row>
    <row r="2010" spans="1:7" hidden="1">
      <c r="A2010" s="197" t="s">
        <v>1233</v>
      </c>
      <c r="B2010" s="198">
        <v>16500</v>
      </c>
      <c r="C2010" s="198">
        <v>0</v>
      </c>
      <c r="D2010" s="197" t="s">
        <v>474</v>
      </c>
      <c r="E2010" s="197" t="s">
        <v>638</v>
      </c>
      <c r="F2010" s="197" t="s">
        <v>396</v>
      </c>
      <c r="G2010" s="197" t="s">
        <v>688</v>
      </c>
    </row>
    <row r="2011" spans="1:7" hidden="1">
      <c r="A2011" s="197" t="s">
        <v>1234</v>
      </c>
      <c r="B2011" s="198">
        <v>12800</v>
      </c>
      <c r="C2011" s="198">
        <v>0</v>
      </c>
      <c r="D2011" s="197" t="s">
        <v>440</v>
      </c>
      <c r="E2011" s="197" t="s">
        <v>638</v>
      </c>
      <c r="F2011" s="197" t="s">
        <v>652</v>
      </c>
      <c r="G2011" s="197" t="s">
        <v>688</v>
      </c>
    </row>
    <row r="2012" spans="1:7" hidden="1">
      <c r="A2012" s="197" t="s">
        <v>1235</v>
      </c>
      <c r="B2012" s="198">
        <v>4500</v>
      </c>
      <c r="C2012" s="198">
        <v>0</v>
      </c>
      <c r="D2012" s="197" t="s">
        <v>442</v>
      </c>
      <c r="E2012" s="197" t="s">
        <v>638</v>
      </c>
      <c r="F2012" s="197" t="s">
        <v>396</v>
      </c>
      <c r="G2012" s="197" t="s">
        <v>688</v>
      </c>
    </row>
    <row r="2013" spans="1:7" hidden="1">
      <c r="A2013" s="197" t="s">
        <v>1236</v>
      </c>
      <c r="B2013" s="198">
        <v>12400</v>
      </c>
      <c r="C2013" s="198">
        <v>0</v>
      </c>
      <c r="D2013" s="197" t="s">
        <v>440</v>
      </c>
      <c r="E2013" s="197" t="s">
        <v>638</v>
      </c>
      <c r="F2013" s="197" t="s">
        <v>652</v>
      </c>
      <c r="G2013" s="197" t="s">
        <v>688</v>
      </c>
    </row>
    <row r="2014" spans="1:7" hidden="1">
      <c r="A2014" s="197" t="s">
        <v>1237</v>
      </c>
      <c r="B2014" s="198">
        <v>12700</v>
      </c>
      <c r="C2014" s="198">
        <v>0</v>
      </c>
      <c r="D2014" s="197" t="s">
        <v>440</v>
      </c>
      <c r="E2014" s="197" t="s">
        <v>638</v>
      </c>
      <c r="F2014" s="197" t="s">
        <v>652</v>
      </c>
      <c r="G2014" s="197" t="s">
        <v>688</v>
      </c>
    </row>
    <row r="2015" spans="1:7" hidden="1">
      <c r="A2015" s="197" t="s">
        <v>1238</v>
      </c>
      <c r="B2015" s="198">
        <v>12500</v>
      </c>
      <c r="C2015" s="198">
        <v>0</v>
      </c>
      <c r="D2015" s="197" t="s">
        <v>440</v>
      </c>
      <c r="E2015" s="197" t="s">
        <v>638</v>
      </c>
      <c r="F2015" s="197" t="s">
        <v>652</v>
      </c>
      <c r="G2015" s="197" t="s">
        <v>688</v>
      </c>
    </row>
    <row r="2016" spans="1:7" hidden="1">
      <c r="A2016" s="197" t="s">
        <v>1239</v>
      </c>
      <c r="B2016" s="198">
        <v>12400</v>
      </c>
      <c r="C2016" s="198">
        <v>0</v>
      </c>
      <c r="D2016" s="197" t="s">
        <v>440</v>
      </c>
      <c r="E2016" s="197" t="s">
        <v>638</v>
      </c>
      <c r="F2016" s="197" t="s">
        <v>652</v>
      </c>
      <c r="G2016" s="197" t="s">
        <v>688</v>
      </c>
    </row>
    <row r="2017" spans="1:7" hidden="1">
      <c r="A2017" s="197" t="s">
        <v>1240</v>
      </c>
      <c r="B2017" s="198">
        <v>19000</v>
      </c>
      <c r="C2017" s="198">
        <v>0</v>
      </c>
      <c r="D2017" s="197" t="s">
        <v>474</v>
      </c>
      <c r="E2017" s="197" t="s">
        <v>638</v>
      </c>
      <c r="F2017" s="197" t="s">
        <v>396</v>
      </c>
      <c r="G2017" s="197" t="s">
        <v>688</v>
      </c>
    </row>
    <row r="2018" spans="1:7" hidden="1">
      <c r="A2018" s="197" t="s">
        <v>1241</v>
      </c>
      <c r="B2018" s="198">
        <v>2900</v>
      </c>
      <c r="C2018" s="198">
        <v>0</v>
      </c>
      <c r="D2018" s="197" t="s">
        <v>442</v>
      </c>
      <c r="E2018" s="197" t="s">
        <v>638</v>
      </c>
      <c r="F2018" s="197" t="s">
        <v>396</v>
      </c>
      <c r="G2018" s="197" t="s">
        <v>688</v>
      </c>
    </row>
    <row r="2019" spans="1:7" hidden="1">
      <c r="A2019" s="197" t="s">
        <v>1242</v>
      </c>
      <c r="B2019" s="198">
        <v>15000</v>
      </c>
      <c r="C2019" s="198">
        <v>0</v>
      </c>
      <c r="D2019" s="197" t="s">
        <v>440</v>
      </c>
      <c r="E2019" s="197" t="s">
        <v>638</v>
      </c>
      <c r="F2019" s="197" t="s">
        <v>652</v>
      </c>
      <c r="G2019" s="197" t="s">
        <v>688</v>
      </c>
    </row>
    <row r="2020" spans="1:7" hidden="1">
      <c r="A2020" s="197" t="s">
        <v>1243</v>
      </c>
      <c r="B2020" s="198">
        <v>49355</v>
      </c>
      <c r="C2020" s="198">
        <v>0</v>
      </c>
      <c r="D2020" s="197" t="s">
        <v>440</v>
      </c>
      <c r="E2020" s="197" t="s">
        <v>638</v>
      </c>
      <c r="F2020" s="197" t="s">
        <v>652</v>
      </c>
      <c r="G2020" s="197" t="s">
        <v>688</v>
      </c>
    </row>
    <row r="2021" spans="1:7" hidden="1">
      <c r="A2021" s="197" t="s">
        <v>1244</v>
      </c>
      <c r="B2021" s="198">
        <v>24000</v>
      </c>
      <c r="C2021" s="198">
        <v>0</v>
      </c>
      <c r="D2021" s="197" t="s">
        <v>440</v>
      </c>
      <c r="E2021" s="197" t="s">
        <v>638</v>
      </c>
      <c r="F2021" s="197" t="s">
        <v>652</v>
      </c>
      <c r="G2021" s="197" t="s">
        <v>688</v>
      </c>
    </row>
    <row r="2022" spans="1:7" hidden="1">
      <c r="A2022" s="197" t="s">
        <v>1245</v>
      </c>
      <c r="B2022" s="198">
        <v>21000</v>
      </c>
      <c r="C2022" s="198">
        <v>0</v>
      </c>
      <c r="D2022" s="197" t="s">
        <v>440</v>
      </c>
      <c r="E2022" s="197" t="s">
        <v>638</v>
      </c>
      <c r="F2022" s="197" t="s">
        <v>652</v>
      </c>
      <c r="G2022" s="197" t="s">
        <v>688</v>
      </c>
    </row>
    <row r="2023" spans="1:7" hidden="1">
      <c r="A2023" s="197" t="s">
        <v>1246</v>
      </c>
      <c r="B2023" s="198">
        <v>43000</v>
      </c>
      <c r="C2023" s="198">
        <v>0</v>
      </c>
      <c r="D2023" s="197" t="s">
        <v>440</v>
      </c>
      <c r="E2023" s="197" t="s">
        <v>638</v>
      </c>
      <c r="F2023" s="197" t="s">
        <v>652</v>
      </c>
      <c r="G2023" s="197" t="s">
        <v>688</v>
      </c>
    </row>
    <row r="2024" spans="1:7" hidden="1">
      <c r="A2024" s="197" t="s">
        <v>1247</v>
      </c>
      <c r="B2024" s="198">
        <v>7200</v>
      </c>
      <c r="C2024" s="198">
        <v>0</v>
      </c>
      <c r="D2024" s="197" t="s">
        <v>442</v>
      </c>
      <c r="E2024" s="197" t="s">
        <v>638</v>
      </c>
      <c r="F2024" s="197" t="s">
        <v>396</v>
      </c>
      <c r="G2024" s="197" t="s">
        <v>688</v>
      </c>
    </row>
    <row r="2025" spans="1:7" hidden="1">
      <c r="A2025" s="197" t="s">
        <v>1248</v>
      </c>
      <c r="B2025" s="198">
        <v>-1700</v>
      </c>
      <c r="C2025" s="198">
        <v>0</v>
      </c>
      <c r="D2025" s="197" t="s">
        <v>442</v>
      </c>
      <c r="E2025" s="197" t="s">
        <v>638</v>
      </c>
      <c r="F2025" s="197" t="s">
        <v>396</v>
      </c>
      <c r="G2025" s="197" t="s">
        <v>688</v>
      </c>
    </row>
    <row r="2026" spans="1:7" hidden="1">
      <c r="A2026" s="197" t="s">
        <v>1249</v>
      </c>
      <c r="B2026" s="198">
        <v>12100</v>
      </c>
      <c r="C2026" s="198">
        <v>0</v>
      </c>
      <c r="D2026" s="197" t="s">
        <v>442</v>
      </c>
      <c r="E2026" s="197" t="s">
        <v>638</v>
      </c>
      <c r="F2026" s="197" t="s">
        <v>396</v>
      </c>
      <c r="G2026" s="197" t="s">
        <v>688</v>
      </c>
    </row>
    <row r="2027" spans="1:7" hidden="1">
      <c r="A2027" s="197" t="s">
        <v>1250</v>
      </c>
      <c r="B2027" s="198">
        <v>42600</v>
      </c>
      <c r="C2027" s="198">
        <v>0</v>
      </c>
      <c r="D2027" s="197" t="s">
        <v>442</v>
      </c>
      <c r="E2027" s="197" t="s">
        <v>638</v>
      </c>
      <c r="F2027" s="197" t="s">
        <v>396</v>
      </c>
      <c r="G2027" s="197" t="s">
        <v>688</v>
      </c>
    </row>
    <row r="2028" spans="1:7" hidden="1">
      <c r="A2028" s="197" t="s">
        <v>1251</v>
      </c>
      <c r="B2028" s="198">
        <v>-8000</v>
      </c>
      <c r="C2028" s="198">
        <v>0</v>
      </c>
      <c r="D2028" s="197" t="s">
        <v>442</v>
      </c>
      <c r="E2028" s="197" t="s">
        <v>638</v>
      </c>
      <c r="F2028" s="197" t="s">
        <v>396</v>
      </c>
      <c r="G2028" s="197" t="s">
        <v>688</v>
      </c>
    </row>
    <row r="2029" spans="1:7" hidden="1">
      <c r="A2029" s="197" t="s">
        <v>1252</v>
      </c>
      <c r="B2029" s="198">
        <v>-5400</v>
      </c>
      <c r="C2029" s="198">
        <v>0</v>
      </c>
      <c r="D2029" s="197" t="s">
        <v>442</v>
      </c>
      <c r="E2029" s="197" t="s">
        <v>638</v>
      </c>
      <c r="F2029" s="197" t="s">
        <v>396</v>
      </c>
      <c r="G2029" s="197" t="s">
        <v>688</v>
      </c>
    </row>
    <row r="2030" spans="1:7" hidden="1">
      <c r="A2030" s="197" t="s">
        <v>1253</v>
      </c>
      <c r="B2030" s="198">
        <v>13500</v>
      </c>
      <c r="C2030" s="198">
        <v>0</v>
      </c>
      <c r="D2030" s="197" t="s">
        <v>440</v>
      </c>
      <c r="E2030" s="197" t="s">
        <v>638</v>
      </c>
      <c r="F2030" s="197" t="s">
        <v>652</v>
      </c>
      <c r="G2030" s="197" t="s">
        <v>688</v>
      </c>
    </row>
    <row r="2031" spans="1:7" hidden="1">
      <c r="A2031" s="197" t="s">
        <v>1254</v>
      </c>
      <c r="B2031" s="198">
        <v>30000</v>
      </c>
      <c r="C2031" s="198">
        <v>0</v>
      </c>
      <c r="D2031" s="197" t="s">
        <v>440</v>
      </c>
      <c r="E2031" s="197" t="s">
        <v>638</v>
      </c>
      <c r="F2031" s="197" t="s">
        <v>652</v>
      </c>
      <c r="G2031" s="197" t="s">
        <v>688</v>
      </c>
    </row>
    <row r="2032" spans="1:7" hidden="1">
      <c r="A2032" s="197" t="s">
        <v>1255</v>
      </c>
      <c r="B2032" s="198">
        <v>28900</v>
      </c>
      <c r="C2032" s="198">
        <v>0</v>
      </c>
      <c r="D2032" s="197" t="s">
        <v>440</v>
      </c>
      <c r="E2032" s="197" t="s">
        <v>638</v>
      </c>
      <c r="F2032" s="197" t="s">
        <v>652</v>
      </c>
      <c r="G2032" s="197" t="s">
        <v>688</v>
      </c>
    </row>
    <row r="2033" spans="1:7" hidden="1">
      <c r="A2033" s="197" t="s">
        <v>1256</v>
      </c>
      <c r="B2033" s="198">
        <v>-61800</v>
      </c>
      <c r="C2033" s="198">
        <v>0</v>
      </c>
      <c r="D2033" s="197" t="s">
        <v>440</v>
      </c>
      <c r="E2033" s="197" t="s">
        <v>638</v>
      </c>
      <c r="F2033" s="197" t="s">
        <v>409</v>
      </c>
      <c r="G2033" s="197" t="s">
        <v>688</v>
      </c>
    </row>
    <row r="2034" spans="1:7" hidden="1">
      <c r="A2034" s="197" t="s">
        <v>1257</v>
      </c>
      <c r="B2034" s="198">
        <v>-3300</v>
      </c>
      <c r="C2034" s="198">
        <v>0</v>
      </c>
      <c r="D2034" s="197" t="s">
        <v>442</v>
      </c>
      <c r="E2034" s="197" t="s">
        <v>638</v>
      </c>
      <c r="F2034" s="197" t="s">
        <v>396</v>
      </c>
      <c r="G2034" s="197" t="s">
        <v>688</v>
      </c>
    </row>
    <row r="2035" spans="1:7" hidden="1">
      <c r="A2035" s="197" t="s">
        <v>1258</v>
      </c>
      <c r="B2035" s="198">
        <v>-16400</v>
      </c>
      <c r="C2035" s="198">
        <v>0</v>
      </c>
      <c r="D2035" s="197" t="s">
        <v>440</v>
      </c>
      <c r="E2035" s="197" t="s">
        <v>638</v>
      </c>
      <c r="F2035" s="197" t="s">
        <v>652</v>
      </c>
      <c r="G2035" s="197" t="s">
        <v>688</v>
      </c>
    </row>
    <row r="2036" spans="1:7" hidden="1">
      <c r="A2036" s="197" t="s">
        <v>1259</v>
      </c>
      <c r="B2036" s="198">
        <v>-54900</v>
      </c>
      <c r="C2036" s="198">
        <v>0</v>
      </c>
      <c r="D2036" s="197" t="s">
        <v>442</v>
      </c>
      <c r="E2036" s="197" t="s">
        <v>638</v>
      </c>
      <c r="F2036" s="197" t="s">
        <v>396</v>
      </c>
      <c r="G2036" s="197" t="s">
        <v>688</v>
      </c>
    </row>
    <row r="2037" spans="1:7" hidden="1">
      <c r="A2037" s="197" t="s">
        <v>1259</v>
      </c>
      <c r="B2037" s="198">
        <v>-44500</v>
      </c>
      <c r="C2037" s="198">
        <v>0</v>
      </c>
      <c r="D2037" s="197" t="s">
        <v>474</v>
      </c>
      <c r="E2037" s="197" t="s">
        <v>638</v>
      </c>
      <c r="F2037" s="197" t="s">
        <v>396</v>
      </c>
      <c r="G2037" s="197" t="s">
        <v>688</v>
      </c>
    </row>
    <row r="2038" spans="1:7" hidden="1">
      <c r="A2038" s="197" t="s">
        <v>1260</v>
      </c>
      <c r="B2038" s="198">
        <v>-148400</v>
      </c>
      <c r="C2038" s="198">
        <v>0</v>
      </c>
      <c r="D2038" s="197" t="s">
        <v>440</v>
      </c>
      <c r="E2038" s="197" t="s">
        <v>638</v>
      </c>
      <c r="F2038" s="197" t="s">
        <v>409</v>
      </c>
      <c r="G2038" s="197" t="s">
        <v>688</v>
      </c>
    </row>
    <row r="2039" spans="1:7" hidden="1">
      <c r="A2039" s="197" t="s">
        <v>1261</v>
      </c>
      <c r="B2039" s="198">
        <v>3692</v>
      </c>
      <c r="C2039" s="198">
        <v>0</v>
      </c>
      <c r="D2039" s="197" t="s">
        <v>440</v>
      </c>
      <c r="E2039" s="197" t="s">
        <v>638</v>
      </c>
      <c r="F2039" s="197" t="s">
        <v>652</v>
      </c>
      <c r="G2039" s="197" t="s">
        <v>688</v>
      </c>
    </row>
    <row r="2040" spans="1:7" hidden="1">
      <c r="A2040" s="197" t="s">
        <v>1262</v>
      </c>
      <c r="B2040" s="198">
        <v>14800</v>
      </c>
      <c r="C2040" s="198">
        <v>0</v>
      </c>
      <c r="D2040" s="197" t="s">
        <v>440</v>
      </c>
      <c r="E2040" s="197" t="s">
        <v>638</v>
      </c>
      <c r="F2040" s="197" t="s">
        <v>652</v>
      </c>
      <c r="G2040" s="197" t="s">
        <v>688</v>
      </c>
    </row>
    <row r="2041" spans="1:7" hidden="1">
      <c r="A2041" s="197" t="s">
        <v>1263</v>
      </c>
      <c r="B2041" s="198">
        <v>36300</v>
      </c>
      <c r="C2041" s="198">
        <v>0</v>
      </c>
      <c r="D2041" s="197" t="s">
        <v>440</v>
      </c>
      <c r="E2041" s="197" t="s">
        <v>638</v>
      </c>
      <c r="F2041" s="197" t="s">
        <v>652</v>
      </c>
      <c r="G2041" s="197" t="s">
        <v>688</v>
      </c>
    </row>
    <row r="2042" spans="1:7" hidden="1">
      <c r="A2042" s="197" t="s">
        <v>1264</v>
      </c>
      <c r="B2042" s="198">
        <v>-40300</v>
      </c>
      <c r="C2042" s="198">
        <v>0</v>
      </c>
      <c r="D2042" s="197" t="s">
        <v>440</v>
      </c>
      <c r="E2042" s="197" t="s">
        <v>638</v>
      </c>
      <c r="F2042" s="197" t="s">
        <v>652</v>
      </c>
      <c r="G2042" s="197" t="s">
        <v>688</v>
      </c>
    </row>
    <row r="2043" spans="1:7" hidden="1">
      <c r="A2043" s="197" t="s">
        <v>1265</v>
      </c>
      <c r="B2043" s="198">
        <v>-6000</v>
      </c>
      <c r="C2043" s="198">
        <v>0</v>
      </c>
      <c r="D2043" s="197" t="s">
        <v>442</v>
      </c>
      <c r="E2043" s="197" t="s">
        <v>638</v>
      </c>
      <c r="F2043" s="197" t="s">
        <v>396</v>
      </c>
      <c r="G2043" s="197" t="s">
        <v>688</v>
      </c>
    </row>
    <row r="2044" spans="1:7" hidden="1">
      <c r="A2044" s="197" t="s">
        <v>370</v>
      </c>
      <c r="B2044" s="198">
        <v>7</v>
      </c>
      <c r="C2044" s="198">
        <v>0</v>
      </c>
      <c r="D2044" s="197" t="s">
        <v>283</v>
      </c>
      <c r="E2044" s="197" t="s">
        <v>639</v>
      </c>
      <c r="F2044" s="197" t="s">
        <v>652</v>
      </c>
      <c r="G2044" s="197" t="s">
        <v>688</v>
      </c>
    </row>
    <row r="2045" spans="1:7">
      <c r="A2045" s="197" t="s">
        <v>370</v>
      </c>
      <c r="B2045" s="198">
        <v>7</v>
      </c>
      <c r="C2045" s="198">
        <v>0</v>
      </c>
      <c r="D2045" s="197" t="s">
        <v>282</v>
      </c>
      <c r="E2045" s="197" t="s">
        <v>639</v>
      </c>
      <c r="F2045" s="197" t="s">
        <v>652</v>
      </c>
      <c r="G2045" s="197" t="s">
        <v>688</v>
      </c>
    </row>
    <row r="2046" spans="1:7" hidden="1">
      <c r="A2046" s="197" t="s">
        <v>374</v>
      </c>
      <c r="B2046" s="198">
        <v>14</v>
      </c>
      <c r="C2046" s="198">
        <v>0</v>
      </c>
      <c r="D2046" s="197" t="s">
        <v>283</v>
      </c>
      <c r="E2046" s="197" t="s">
        <v>639</v>
      </c>
      <c r="F2046" s="197" t="s">
        <v>652</v>
      </c>
      <c r="G2046" s="197" t="s">
        <v>688</v>
      </c>
    </row>
    <row r="2047" spans="1:7">
      <c r="A2047" s="197" t="s">
        <v>374</v>
      </c>
      <c r="B2047" s="198">
        <v>15</v>
      </c>
      <c r="C2047" s="198">
        <v>0</v>
      </c>
      <c r="D2047" s="197" t="s">
        <v>282</v>
      </c>
      <c r="E2047" s="197" t="s">
        <v>639</v>
      </c>
      <c r="F2047" s="197" t="s">
        <v>652</v>
      </c>
      <c r="G2047" s="197" t="s">
        <v>688</v>
      </c>
    </row>
    <row r="2048" spans="1:7" hidden="1">
      <c r="A2048" s="197" t="s">
        <v>372</v>
      </c>
      <c r="B2048" s="198">
        <v>182</v>
      </c>
      <c r="C2048" s="198">
        <v>0</v>
      </c>
      <c r="D2048" s="197" t="s">
        <v>283</v>
      </c>
      <c r="E2048" s="197" t="s">
        <v>639</v>
      </c>
      <c r="F2048" s="197" t="s">
        <v>652</v>
      </c>
      <c r="G2048" s="197" t="s">
        <v>688</v>
      </c>
    </row>
    <row r="2049" spans="1:7">
      <c r="A2049" s="197" t="s">
        <v>372</v>
      </c>
      <c r="B2049" s="198">
        <v>182</v>
      </c>
      <c r="C2049" s="198">
        <v>0</v>
      </c>
      <c r="D2049" s="197" t="s">
        <v>282</v>
      </c>
      <c r="E2049" s="197" t="s">
        <v>639</v>
      </c>
      <c r="F2049" s="197" t="s">
        <v>652</v>
      </c>
      <c r="G2049" s="197" t="s">
        <v>688</v>
      </c>
    </row>
    <row r="2050" spans="1:7" hidden="1">
      <c r="A2050" s="197" t="s">
        <v>375</v>
      </c>
      <c r="B2050" s="198">
        <v>89</v>
      </c>
      <c r="C2050" s="198">
        <v>0</v>
      </c>
      <c r="D2050" s="197" t="s">
        <v>283</v>
      </c>
      <c r="E2050" s="197" t="s">
        <v>639</v>
      </c>
      <c r="F2050" s="197" t="s">
        <v>652</v>
      </c>
      <c r="G2050" s="197" t="s">
        <v>688</v>
      </c>
    </row>
    <row r="2051" spans="1:7">
      <c r="A2051" s="197" t="s">
        <v>375</v>
      </c>
      <c r="B2051" s="198">
        <v>89</v>
      </c>
      <c r="C2051" s="198">
        <v>0</v>
      </c>
      <c r="D2051" s="197" t="s">
        <v>282</v>
      </c>
      <c r="E2051" s="197" t="s">
        <v>639</v>
      </c>
      <c r="F2051" s="197" t="s">
        <v>652</v>
      </c>
      <c r="G2051" s="197" t="s">
        <v>688</v>
      </c>
    </row>
    <row r="2052" spans="1:7" hidden="1">
      <c r="A2052" s="197" t="s">
        <v>653</v>
      </c>
      <c r="B2052" s="198">
        <v>-694</v>
      </c>
      <c r="C2052" s="198">
        <v>0</v>
      </c>
      <c r="D2052" s="197" t="s">
        <v>442</v>
      </c>
      <c r="E2052" s="197" t="s">
        <v>638</v>
      </c>
      <c r="F2052" s="197" t="s">
        <v>652</v>
      </c>
      <c r="G2052" s="197" t="s">
        <v>688</v>
      </c>
    </row>
    <row r="2053" spans="1:7" hidden="1">
      <c r="A2053" s="197" t="s">
        <v>654</v>
      </c>
      <c r="B2053" s="198">
        <v>-54407</v>
      </c>
      <c r="C2053" s="198">
        <v>0</v>
      </c>
      <c r="D2053" s="197" t="s">
        <v>442</v>
      </c>
      <c r="E2053" s="197" t="s">
        <v>638</v>
      </c>
      <c r="F2053" s="197" t="s">
        <v>652</v>
      </c>
      <c r="G2053" s="197" t="s">
        <v>688</v>
      </c>
    </row>
    <row r="2054" spans="1:7" hidden="1">
      <c r="A2054" s="197" t="s">
        <v>1266</v>
      </c>
      <c r="B2054" s="198">
        <v>7400</v>
      </c>
      <c r="C2054" s="198">
        <v>0</v>
      </c>
      <c r="D2054" s="197" t="s">
        <v>440</v>
      </c>
      <c r="E2054" s="197" t="s">
        <v>638</v>
      </c>
      <c r="F2054" s="197" t="s">
        <v>409</v>
      </c>
      <c r="G2054" s="197" t="s">
        <v>688</v>
      </c>
    </row>
    <row r="2055" spans="1:7" hidden="1">
      <c r="A2055" s="197" t="s">
        <v>1267</v>
      </c>
      <c r="B2055" s="198">
        <v>7400</v>
      </c>
      <c r="C2055" s="198">
        <v>0</v>
      </c>
      <c r="D2055" s="197" t="s">
        <v>442</v>
      </c>
      <c r="E2055" s="197" t="s">
        <v>638</v>
      </c>
      <c r="F2055" s="197" t="s">
        <v>396</v>
      </c>
      <c r="G2055" s="197" t="s">
        <v>688</v>
      </c>
    </row>
    <row r="2056" spans="1:7" hidden="1">
      <c r="A2056" s="197" t="s">
        <v>1268</v>
      </c>
      <c r="B2056" s="198">
        <v>3900</v>
      </c>
      <c r="C2056" s="198">
        <v>0</v>
      </c>
      <c r="D2056" s="197" t="s">
        <v>442</v>
      </c>
      <c r="E2056" s="197" t="s">
        <v>638</v>
      </c>
      <c r="F2056" s="197" t="s">
        <v>396</v>
      </c>
      <c r="G2056" s="197" t="s">
        <v>688</v>
      </c>
    </row>
    <row r="2057" spans="1:7" hidden="1">
      <c r="A2057" s="197" t="s">
        <v>1269</v>
      </c>
      <c r="B2057" s="198">
        <v>2300</v>
      </c>
      <c r="C2057" s="198">
        <v>0</v>
      </c>
      <c r="D2057" s="197" t="s">
        <v>442</v>
      </c>
      <c r="E2057" s="197" t="s">
        <v>638</v>
      </c>
      <c r="F2057" s="197" t="s">
        <v>396</v>
      </c>
      <c r="G2057" s="197" t="s">
        <v>688</v>
      </c>
    </row>
    <row r="2058" spans="1:7" hidden="1">
      <c r="A2058" s="197" t="s">
        <v>1270</v>
      </c>
      <c r="B2058" s="198">
        <v>5700</v>
      </c>
      <c r="C2058" s="198">
        <v>0</v>
      </c>
      <c r="D2058" s="197" t="s">
        <v>442</v>
      </c>
      <c r="E2058" s="197" t="s">
        <v>638</v>
      </c>
      <c r="F2058" s="197" t="s">
        <v>396</v>
      </c>
      <c r="G2058" s="197" t="s">
        <v>688</v>
      </c>
    </row>
    <row r="2059" spans="1:7" hidden="1">
      <c r="A2059" s="197" t="s">
        <v>1271</v>
      </c>
      <c r="B2059" s="198">
        <v>3100</v>
      </c>
      <c r="C2059" s="198">
        <v>0</v>
      </c>
      <c r="D2059" s="197" t="s">
        <v>442</v>
      </c>
      <c r="E2059" s="197" t="s">
        <v>638</v>
      </c>
      <c r="F2059" s="197" t="s">
        <v>396</v>
      </c>
      <c r="G2059" s="197" t="s">
        <v>688</v>
      </c>
    </row>
    <row r="2060" spans="1:7" hidden="1">
      <c r="A2060" s="197" t="s">
        <v>1272</v>
      </c>
      <c r="B2060" s="198">
        <v>23000</v>
      </c>
      <c r="C2060" s="198">
        <v>0</v>
      </c>
      <c r="D2060" s="197" t="s">
        <v>440</v>
      </c>
      <c r="E2060" s="197" t="s">
        <v>638</v>
      </c>
      <c r="F2060" s="197" t="s">
        <v>652</v>
      </c>
      <c r="G2060" s="197" t="s">
        <v>688</v>
      </c>
    </row>
    <row r="2061" spans="1:7" hidden="1">
      <c r="A2061" s="197" t="s">
        <v>1273</v>
      </c>
      <c r="B2061" s="198">
        <v>2800</v>
      </c>
      <c r="C2061" s="198">
        <v>0</v>
      </c>
      <c r="D2061" s="197" t="s">
        <v>442</v>
      </c>
      <c r="E2061" s="197" t="s">
        <v>638</v>
      </c>
      <c r="F2061" s="197" t="s">
        <v>396</v>
      </c>
      <c r="G2061" s="197" t="s">
        <v>688</v>
      </c>
    </row>
    <row r="2062" spans="1:7" hidden="1">
      <c r="A2062" s="197" t="s">
        <v>1274</v>
      </c>
      <c r="B2062" s="198">
        <v>3200</v>
      </c>
      <c r="C2062" s="198">
        <v>0</v>
      </c>
      <c r="D2062" s="197" t="s">
        <v>442</v>
      </c>
      <c r="E2062" s="197" t="s">
        <v>638</v>
      </c>
      <c r="F2062" s="197" t="s">
        <v>396</v>
      </c>
      <c r="G2062" s="197" t="s">
        <v>688</v>
      </c>
    </row>
    <row r="2063" spans="1:7" hidden="1">
      <c r="A2063" s="197" t="s">
        <v>1275</v>
      </c>
      <c r="B2063" s="198">
        <v>13300</v>
      </c>
      <c r="C2063" s="198">
        <v>0</v>
      </c>
      <c r="D2063" s="197" t="s">
        <v>440</v>
      </c>
      <c r="E2063" s="197" t="s">
        <v>638</v>
      </c>
      <c r="F2063" s="197" t="s">
        <v>652</v>
      </c>
      <c r="G2063" s="197" t="s">
        <v>688</v>
      </c>
    </row>
    <row r="2064" spans="1:7" hidden="1">
      <c r="A2064" s="197" t="s">
        <v>1276</v>
      </c>
      <c r="B2064" s="198">
        <v>36100</v>
      </c>
      <c r="C2064" s="198">
        <v>0</v>
      </c>
      <c r="D2064" s="197" t="s">
        <v>440</v>
      </c>
      <c r="E2064" s="197" t="s">
        <v>638</v>
      </c>
      <c r="F2064" s="197" t="s">
        <v>652</v>
      </c>
      <c r="G2064" s="197" t="s">
        <v>688</v>
      </c>
    </row>
    <row r="2065" spans="1:7" hidden="1">
      <c r="A2065" s="197" t="s">
        <v>1277</v>
      </c>
      <c r="B2065" s="198">
        <v>53200</v>
      </c>
      <c r="C2065" s="198">
        <v>0</v>
      </c>
      <c r="D2065" s="197" t="s">
        <v>440</v>
      </c>
      <c r="E2065" s="197" t="s">
        <v>638</v>
      </c>
      <c r="F2065" s="197" t="s">
        <v>652</v>
      </c>
      <c r="G2065" s="197" t="s">
        <v>688</v>
      </c>
    </row>
    <row r="2066" spans="1:7" hidden="1">
      <c r="A2066" s="197" t="s">
        <v>1278</v>
      </c>
      <c r="B2066" s="198">
        <v>2900</v>
      </c>
      <c r="C2066" s="198">
        <v>0</v>
      </c>
      <c r="D2066" s="197" t="s">
        <v>442</v>
      </c>
      <c r="E2066" s="197" t="s">
        <v>638</v>
      </c>
      <c r="F2066" s="197" t="s">
        <v>396</v>
      </c>
      <c r="G2066" s="197" t="s">
        <v>688</v>
      </c>
    </row>
    <row r="2067" spans="1:7" hidden="1">
      <c r="A2067" s="197" t="s">
        <v>1279</v>
      </c>
      <c r="B2067" s="198">
        <v>22200</v>
      </c>
      <c r="C2067" s="198">
        <v>0</v>
      </c>
      <c r="D2067" s="197" t="s">
        <v>440</v>
      </c>
      <c r="E2067" s="197" t="s">
        <v>638</v>
      </c>
      <c r="F2067" s="197" t="s">
        <v>652</v>
      </c>
      <c r="G2067" s="197" t="s">
        <v>688</v>
      </c>
    </row>
    <row r="2068" spans="1:7" hidden="1">
      <c r="A2068" s="197" t="s">
        <v>1280</v>
      </c>
      <c r="B2068" s="198">
        <v>14000</v>
      </c>
      <c r="C2068" s="198">
        <v>0</v>
      </c>
      <c r="D2068" s="197" t="s">
        <v>440</v>
      </c>
      <c r="E2068" s="197" t="s">
        <v>638</v>
      </c>
      <c r="F2068" s="197" t="s">
        <v>652</v>
      </c>
      <c r="G2068" s="197" t="s">
        <v>688</v>
      </c>
    </row>
    <row r="2069" spans="1:7" hidden="1">
      <c r="A2069" s="197" t="s">
        <v>1281</v>
      </c>
      <c r="B2069" s="198">
        <v>4000</v>
      </c>
      <c r="C2069" s="198">
        <v>0</v>
      </c>
      <c r="D2069" s="197" t="s">
        <v>442</v>
      </c>
      <c r="E2069" s="197" t="s">
        <v>638</v>
      </c>
      <c r="F2069" s="197" t="s">
        <v>396</v>
      </c>
      <c r="G2069" s="197" t="s">
        <v>688</v>
      </c>
    </row>
    <row r="2070" spans="1:7" hidden="1">
      <c r="A2070" s="197" t="s">
        <v>1282</v>
      </c>
      <c r="B2070" s="198">
        <v>16000</v>
      </c>
      <c r="C2070" s="198">
        <v>0</v>
      </c>
      <c r="D2070" s="197" t="s">
        <v>440</v>
      </c>
      <c r="E2070" s="197" t="s">
        <v>638</v>
      </c>
      <c r="F2070" s="197" t="s">
        <v>652</v>
      </c>
      <c r="G2070" s="197" t="s">
        <v>688</v>
      </c>
    </row>
    <row r="2071" spans="1:7" hidden="1">
      <c r="A2071" s="197" t="s">
        <v>1283</v>
      </c>
      <c r="B2071" s="198">
        <v>25000</v>
      </c>
      <c r="C2071" s="198">
        <v>0</v>
      </c>
      <c r="D2071" s="197" t="s">
        <v>440</v>
      </c>
      <c r="E2071" s="197" t="s">
        <v>638</v>
      </c>
      <c r="F2071" s="197" t="s">
        <v>409</v>
      </c>
      <c r="G2071" s="197" t="s">
        <v>688</v>
      </c>
    </row>
    <row r="2072" spans="1:7" hidden="1">
      <c r="A2072" s="197" t="s">
        <v>1284</v>
      </c>
      <c r="B2072" s="198">
        <v>10800</v>
      </c>
      <c r="C2072" s="198">
        <v>0</v>
      </c>
      <c r="D2072" s="197" t="s">
        <v>442</v>
      </c>
      <c r="E2072" s="197" t="s">
        <v>638</v>
      </c>
      <c r="F2072" s="197" t="s">
        <v>396</v>
      </c>
      <c r="G2072" s="197" t="s">
        <v>688</v>
      </c>
    </row>
    <row r="2073" spans="1:7" hidden="1">
      <c r="A2073" s="197" t="s">
        <v>1284</v>
      </c>
      <c r="B2073" s="198">
        <v>79600</v>
      </c>
      <c r="C2073" s="198">
        <v>0</v>
      </c>
      <c r="D2073" s="197" t="s">
        <v>474</v>
      </c>
      <c r="E2073" s="197" t="s">
        <v>638</v>
      </c>
      <c r="F2073" s="197" t="s">
        <v>396</v>
      </c>
      <c r="G2073" s="197" t="s">
        <v>688</v>
      </c>
    </row>
    <row r="2074" spans="1:7" hidden="1">
      <c r="A2074" s="197" t="s">
        <v>1285</v>
      </c>
      <c r="B2074" s="198">
        <v>6000</v>
      </c>
      <c r="C2074" s="198">
        <v>0</v>
      </c>
      <c r="D2074" s="197" t="s">
        <v>442</v>
      </c>
      <c r="E2074" s="197" t="s">
        <v>638</v>
      </c>
      <c r="F2074" s="197" t="s">
        <v>396</v>
      </c>
      <c r="G2074" s="197" t="s">
        <v>688</v>
      </c>
    </row>
    <row r="2075" spans="1:7" hidden="1">
      <c r="A2075" s="197" t="s">
        <v>1286</v>
      </c>
      <c r="B2075" s="198">
        <v>87000</v>
      </c>
      <c r="C2075" s="198">
        <v>0</v>
      </c>
      <c r="D2075" s="197" t="s">
        <v>440</v>
      </c>
      <c r="E2075" s="197" t="s">
        <v>638</v>
      </c>
      <c r="F2075" s="197" t="s">
        <v>652</v>
      </c>
      <c r="G2075" s="197" t="s">
        <v>688</v>
      </c>
    </row>
    <row r="2076" spans="1:7" hidden="1">
      <c r="A2076" s="197" t="s">
        <v>1287</v>
      </c>
      <c r="B2076" s="198">
        <v>3200</v>
      </c>
      <c r="C2076" s="198">
        <v>0</v>
      </c>
      <c r="D2076" s="197" t="s">
        <v>442</v>
      </c>
      <c r="E2076" s="197" t="s">
        <v>638</v>
      </c>
      <c r="F2076" s="197" t="s">
        <v>396</v>
      </c>
      <c r="G2076" s="197" t="s">
        <v>688</v>
      </c>
    </row>
    <row r="2077" spans="1:7" hidden="1">
      <c r="A2077" s="197" t="s">
        <v>1288</v>
      </c>
      <c r="B2077" s="198">
        <v>5100</v>
      </c>
      <c r="C2077" s="198">
        <v>0</v>
      </c>
      <c r="D2077" s="197" t="s">
        <v>442</v>
      </c>
      <c r="E2077" s="197" t="s">
        <v>638</v>
      </c>
      <c r="F2077" s="197" t="s">
        <v>396</v>
      </c>
      <c r="G2077" s="197" t="s">
        <v>688</v>
      </c>
    </row>
    <row r="2078" spans="1:7" hidden="1">
      <c r="A2078" s="197" t="s">
        <v>1289</v>
      </c>
      <c r="B2078" s="198">
        <v>7700</v>
      </c>
      <c r="C2078" s="198">
        <v>0</v>
      </c>
      <c r="D2078" s="197" t="s">
        <v>442</v>
      </c>
      <c r="E2078" s="197" t="s">
        <v>638</v>
      </c>
      <c r="F2078" s="197" t="s">
        <v>396</v>
      </c>
      <c r="G2078" s="197" t="s">
        <v>688</v>
      </c>
    </row>
    <row r="2079" spans="1:7" hidden="1">
      <c r="A2079" s="197" t="s">
        <v>1290</v>
      </c>
      <c r="B2079" s="198">
        <v>7300</v>
      </c>
      <c r="C2079" s="198">
        <v>0</v>
      </c>
      <c r="D2079" s="197" t="s">
        <v>442</v>
      </c>
      <c r="E2079" s="197" t="s">
        <v>638</v>
      </c>
      <c r="F2079" s="197" t="s">
        <v>396</v>
      </c>
      <c r="G2079" s="197" t="s">
        <v>688</v>
      </c>
    </row>
    <row r="2080" spans="1:7" hidden="1">
      <c r="A2080" s="197" t="s">
        <v>1291</v>
      </c>
      <c r="B2080" s="198">
        <v>22900</v>
      </c>
      <c r="C2080" s="198">
        <v>0</v>
      </c>
      <c r="D2080" s="197" t="s">
        <v>440</v>
      </c>
      <c r="E2080" s="197" t="s">
        <v>638</v>
      </c>
      <c r="F2080" s="197" t="s">
        <v>652</v>
      </c>
      <c r="G2080" s="197" t="s">
        <v>688</v>
      </c>
    </row>
    <row r="2081" spans="1:7" hidden="1">
      <c r="A2081" s="197" t="s">
        <v>1292</v>
      </c>
      <c r="B2081" s="198">
        <v>6000</v>
      </c>
      <c r="C2081" s="198">
        <v>0</v>
      </c>
      <c r="D2081" s="197" t="s">
        <v>442</v>
      </c>
      <c r="E2081" s="197" t="s">
        <v>638</v>
      </c>
      <c r="F2081" s="197" t="s">
        <v>396</v>
      </c>
      <c r="G2081" s="197" t="s">
        <v>688</v>
      </c>
    </row>
    <row r="2082" spans="1:7" hidden="1">
      <c r="A2082" s="197" t="s">
        <v>1293</v>
      </c>
      <c r="B2082" s="198">
        <v>6200</v>
      </c>
      <c r="C2082" s="198">
        <v>0</v>
      </c>
      <c r="D2082" s="197" t="s">
        <v>442</v>
      </c>
      <c r="E2082" s="197" t="s">
        <v>638</v>
      </c>
      <c r="F2082" s="197" t="s">
        <v>396</v>
      </c>
      <c r="G2082" s="197" t="s">
        <v>688</v>
      </c>
    </row>
    <row r="2083" spans="1:7" hidden="1">
      <c r="A2083" s="197" t="s">
        <v>1294</v>
      </c>
      <c r="B2083" s="198">
        <v>5100</v>
      </c>
      <c r="C2083" s="198">
        <v>0</v>
      </c>
      <c r="D2083" s="197" t="s">
        <v>442</v>
      </c>
      <c r="E2083" s="197" t="s">
        <v>638</v>
      </c>
      <c r="F2083" s="197" t="s">
        <v>396</v>
      </c>
      <c r="G2083" s="197" t="s">
        <v>688</v>
      </c>
    </row>
    <row r="2084" spans="1:7" hidden="1">
      <c r="A2084" s="197" t="s">
        <v>1295</v>
      </c>
      <c r="B2084" s="198">
        <v>6400</v>
      </c>
      <c r="C2084" s="198">
        <v>0</v>
      </c>
      <c r="D2084" s="197" t="s">
        <v>442</v>
      </c>
      <c r="E2084" s="197" t="s">
        <v>638</v>
      </c>
      <c r="F2084" s="197" t="s">
        <v>396</v>
      </c>
      <c r="G2084" s="197" t="s">
        <v>688</v>
      </c>
    </row>
    <row r="2085" spans="1:7" hidden="1">
      <c r="A2085" s="197" t="s">
        <v>1296</v>
      </c>
      <c r="B2085" s="198">
        <v>1127</v>
      </c>
      <c r="C2085" s="198">
        <v>0</v>
      </c>
      <c r="D2085" s="197" t="s">
        <v>440</v>
      </c>
      <c r="E2085" s="197" t="s">
        <v>638</v>
      </c>
      <c r="F2085" s="197" t="s">
        <v>652</v>
      </c>
      <c r="G2085" s="197" t="s">
        <v>688</v>
      </c>
    </row>
    <row r="2086" spans="1:7" hidden="1">
      <c r="A2086" s="197" t="s">
        <v>1297</v>
      </c>
      <c r="B2086" s="198">
        <v>23200</v>
      </c>
      <c r="C2086" s="198">
        <v>0</v>
      </c>
      <c r="D2086" s="197" t="s">
        <v>440</v>
      </c>
      <c r="E2086" s="197" t="s">
        <v>638</v>
      </c>
      <c r="F2086" s="197" t="s">
        <v>652</v>
      </c>
      <c r="G2086" s="197" t="s">
        <v>688</v>
      </c>
    </row>
    <row r="2087" spans="1:7" hidden="1">
      <c r="A2087" s="197" t="s">
        <v>1298</v>
      </c>
      <c r="B2087" s="198">
        <v>3800</v>
      </c>
      <c r="C2087" s="198">
        <v>0</v>
      </c>
      <c r="D2087" s="197" t="s">
        <v>442</v>
      </c>
      <c r="E2087" s="197" t="s">
        <v>638</v>
      </c>
      <c r="F2087" s="197" t="s">
        <v>396</v>
      </c>
      <c r="G2087" s="197" t="s">
        <v>688</v>
      </c>
    </row>
    <row r="2088" spans="1:7" hidden="1">
      <c r="A2088" s="197" t="s">
        <v>1299</v>
      </c>
      <c r="B2088" s="198">
        <v>6400</v>
      </c>
      <c r="C2088" s="198">
        <v>0</v>
      </c>
      <c r="D2088" s="197" t="s">
        <v>442</v>
      </c>
      <c r="E2088" s="197" t="s">
        <v>638</v>
      </c>
      <c r="F2088" s="197" t="s">
        <v>396</v>
      </c>
      <c r="G2088" s="197" t="s">
        <v>688</v>
      </c>
    </row>
    <row r="2089" spans="1:7" hidden="1">
      <c r="A2089" s="197" t="s">
        <v>1300</v>
      </c>
      <c r="B2089" s="198">
        <v>5000</v>
      </c>
      <c r="C2089" s="198">
        <v>0</v>
      </c>
      <c r="D2089" s="197" t="s">
        <v>442</v>
      </c>
      <c r="E2089" s="197" t="s">
        <v>638</v>
      </c>
      <c r="F2089" s="197" t="s">
        <v>396</v>
      </c>
      <c r="G2089" s="197" t="s">
        <v>688</v>
      </c>
    </row>
    <row r="2090" spans="1:7" hidden="1">
      <c r="A2090" s="197" t="s">
        <v>1301</v>
      </c>
      <c r="B2090" s="198">
        <v>9000</v>
      </c>
      <c r="C2090" s="198">
        <v>0</v>
      </c>
      <c r="D2090" s="197" t="s">
        <v>442</v>
      </c>
      <c r="E2090" s="197" t="s">
        <v>638</v>
      </c>
      <c r="F2090" s="197" t="s">
        <v>396</v>
      </c>
      <c r="G2090" s="197" t="s">
        <v>688</v>
      </c>
    </row>
    <row r="2091" spans="1:7" hidden="1">
      <c r="A2091" s="197" t="s">
        <v>1302</v>
      </c>
      <c r="B2091" s="198">
        <v>6300</v>
      </c>
      <c r="C2091" s="198">
        <v>0</v>
      </c>
      <c r="D2091" s="197" t="s">
        <v>442</v>
      </c>
      <c r="E2091" s="197" t="s">
        <v>638</v>
      </c>
      <c r="F2091" s="197" t="s">
        <v>396</v>
      </c>
      <c r="G2091" s="197" t="s">
        <v>688</v>
      </c>
    </row>
    <row r="2092" spans="1:7" hidden="1">
      <c r="A2092" s="197" t="s">
        <v>1303</v>
      </c>
      <c r="B2092" s="198">
        <v>100000</v>
      </c>
      <c r="C2092" s="198">
        <v>0</v>
      </c>
      <c r="D2092" s="197" t="s">
        <v>440</v>
      </c>
      <c r="E2092" s="197" t="s">
        <v>638</v>
      </c>
      <c r="F2092" s="197" t="s">
        <v>409</v>
      </c>
      <c r="G2092" s="197" t="s">
        <v>688</v>
      </c>
    </row>
    <row r="2093" spans="1:7" hidden="1">
      <c r="A2093" s="197" t="s">
        <v>1304</v>
      </c>
      <c r="B2093" s="198">
        <v>-16300</v>
      </c>
      <c r="C2093" s="198">
        <v>0</v>
      </c>
      <c r="D2093" s="197" t="s">
        <v>440</v>
      </c>
      <c r="E2093" s="197" t="s">
        <v>638</v>
      </c>
      <c r="F2093" s="197" t="s">
        <v>652</v>
      </c>
      <c r="G2093" s="197" t="s">
        <v>688</v>
      </c>
    </row>
    <row r="2094" spans="1:7" hidden="1">
      <c r="A2094" s="197" t="s">
        <v>1305</v>
      </c>
      <c r="B2094" s="198">
        <v>-16100</v>
      </c>
      <c r="C2094" s="198">
        <v>0</v>
      </c>
      <c r="D2094" s="197" t="s">
        <v>440</v>
      </c>
      <c r="E2094" s="197" t="s">
        <v>638</v>
      </c>
      <c r="F2094" s="197" t="s">
        <v>409</v>
      </c>
      <c r="G2094" s="197" t="s">
        <v>688</v>
      </c>
    </row>
    <row r="2095" spans="1:7" hidden="1">
      <c r="A2095" s="197" t="s">
        <v>1306</v>
      </c>
      <c r="B2095" s="198">
        <v>600</v>
      </c>
      <c r="C2095" s="198">
        <v>0</v>
      </c>
      <c r="D2095" s="197" t="s">
        <v>442</v>
      </c>
      <c r="E2095" s="197" t="s">
        <v>638</v>
      </c>
      <c r="F2095" s="197" t="s">
        <v>396</v>
      </c>
      <c r="G2095" s="197" t="s">
        <v>688</v>
      </c>
    </row>
    <row r="2096" spans="1:7" hidden="1">
      <c r="A2096" s="197" t="s">
        <v>1307</v>
      </c>
      <c r="B2096" s="198">
        <v>1900</v>
      </c>
      <c r="C2096" s="198">
        <v>0</v>
      </c>
      <c r="D2096" s="197" t="s">
        <v>442</v>
      </c>
      <c r="E2096" s="197" t="s">
        <v>638</v>
      </c>
      <c r="F2096" s="197" t="s">
        <v>396</v>
      </c>
      <c r="G2096" s="197" t="s">
        <v>688</v>
      </c>
    </row>
    <row r="2097" spans="1:7" hidden="1">
      <c r="A2097" s="197" t="s">
        <v>1308</v>
      </c>
      <c r="B2097" s="198">
        <v>48500</v>
      </c>
      <c r="C2097" s="198">
        <v>0</v>
      </c>
      <c r="D2097" s="197" t="s">
        <v>440</v>
      </c>
      <c r="E2097" s="197" t="s">
        <v>638</v>
      </c>
      <c r="F2097" s="197" t="s">
        <v>409</v>
      </c>
      <c r="G2097" s="197" t="s">
        <v>688</v>
      </c>
    </row>
    <row r="2098" spans="1:7" hidden="1">
      <c r="A2098" s="197" t="s">
        <v>1309</v>
      </c>
      <c r="B2098" s="198">
        <v>80900</v>
      </c>
      <c r="C2098" s="198">
        <v>0</v>
      </c>
      <c r="D2098" s="197" t="s">
        <v>440</v>
      </c>
      <c r="E2098" s="197" t="s">
        <v>638</v>
      </c>
      <c r="F2098" s="197" t="s">
        <v>652</v>
      </c>
      <c r="G2098" s="197" t="s">
        <v>688</v>
      </c>
    </row>
    <row r="2099" spans="1:7" hidden="1">
      <c r="A2099" s="197" t="s">
        <v>1310</v>
      </c>
      <c r="B2099" s="198">
        <v>154900</v>
      </c>
      <c r="C2099" s="198">
        <v>0</v>
      </c>
      <c r="D2099" s="197" t="s">
        <v>440</v>
      </c>
      <c r="E2099" s="197" t="s">
        <v>638</v>
      </c>
      <c r="F2099" s="197" t="s">
        <v>652</v>
      </c>
      <c r="G2099" s="197" t="s">
        <v>688</v>
      </c>
    </row>
    <row r="2100" spans="1:7" hidden="1">
      <c r="A2100" s="197" t="s">
        <v>1311</v>
      </c>
      <c r="B2100" s="198">
        <v>4000</v>
      </c>
      <c r="C2100" s="198">
        <v>0</v>
      </c>
      <c r="D2100" s="197" t="s">
        <v>442</v>
      </c>
      <c r="E2100" s="197" t="s">
        <v>638</v>
      </c>
      <c r="F2100" s="197" t="s">
        <v>396</v>
      </c>
      <c r="G2100" s="197" t="s">
        <v>688</v>
      </c>
    </row>
    <row r="2101" spans="1:7" hidden="1">
      <c r="A2101" s="197" t="s">
        <v>1312</v>
      </c>
      <c r="B2101" s="198">
        <v>59800</v>
      </c>
      <c r="C2101" s="198">
        <v>0</v>
      </c>
      <c r="D2101" s="197" t="s">
        <v>440</v>
      </c>
      <c r="E2101" s="197" t="s">
        <v>638</v>
      </c>
      <c r="F2101" s="197" t="s">
        <v>652</v>
      </c>
      <c r="G2101" s="197" t="s">
        <v>688</v>
      </c>
    </row>
    <row r="2102" spans="1:7" hidden="1">
      <c r="A2102" s="197" t="s">
        <v>1313</v>
      </c>
      <c r="B2102" s="198">
        <v>71500</v>
      </c>
      <c r="C2102" s="198">
        <v>0</v>
      </c>
      <c r="D2102" s="197" t="s">
        <v>440</v>
      </c>
      <c r="E2102" s="197" t="s">
        <v>638</v>
      </c>
      <c r="F2102" s="197" t="s">
        <v>652</v>
      </c>
      <c r="G2102" s="197" t="s">
        <v>688</v>
      </c>
    </row>
    <row r="2103" spans="1:7" hidden="1">
      <c r="A2103" s="197" t="s">
        <v>1314</v>
      </c>
      <c r="B2103" s="198">
        <v>4300</v>
      </c>
      <c r="C2103" s="198">
        <v>0</v>
      </c>
      <c r="D2103" s="197" t="s">
        <v>442</v>
      </c>
      <c r="E2103" s="197" t="s">
        <v>638</v>
      </c>
      <c r="F2103" s="197" t="s">
        <v>396</v>
      </c>
      <c r="G2103" s="197" t="s">
        <v>688</v>
      </c>
    </row>
    <row r="2104" spans="1:7" hidden="1">
      <c r="A2104" s="197" t="s">
        <v>1315</v>
      </c>
      <c r="B2104" s="198">
        <v>1200</v>
      </c>
      <c r="C2104" s="198">
        <v>0</v>
      </c>
      <c r="D2104" s="197" t="s">
        <v>440</v>
      </c>
      <c r="E2104" s="197" t="s">
        <v>638</v>
      </c>
      <c r="F2104" s="197" t="s">
        <v>652</v>
      </c>
      <c r="G2104" s="197" t="s">
        <v>688</v>
      </c>
    </row>
    <row r="2105" spans="1:7" hidden="1">
      <c r="A2105" s="197" t="s">
        <v>1316</v>
      </c>
      <c r="B2105" s="198">
        <v>4200</v>
      </c>
      <c r="C2105" s="198">
        <v>0</v>
      </c>
      <c r="D2105" s="197" t="s">
        <v>442</v>
      </c>
      <c r="E2105" s="197" t="s">
        <v>638</v>
      </c>
      <c r="F2105" s="197" t="s">
        <v>396</v>
      </c>
      <c r="G2105" s="197" t="s">
        <v>688</v>
      </c>
    </row>
    <row r="2106" spans="1:7" hidden="1">
      <c r="A2106" s="197" t="s">
        <v>1317</v>
      </c>
      <c r="B2106" s="198">
        <v>4200</v>
      </c>
      <c r="C2106" s="198">
        <v>0</v>
      </c>
      <c r="D2106" s="197" t="s">
        <v>442</v>
      </c>
      <c r="E2106" s="197" t="s">
        <v>638</v>
      </c>
      <c r="F2106" s="197" t="s">
        <v>396</v>
      </c>
      <c r="G2106" s="197" t="s">
        <v>688</v>
      </c>
    </row>
    <row r="2107" spans="1:7" hidden="1">
      <c r="A2107" s="197" t="s">
        <v>1318</v>
      </c>
      <c r="B2107" s="198">
        <v>105000</v>
      </c>
      <c r="C2107" s="198">
        <v>0</v>
      </c>
      <c r="D2107" s="197" t="s">
        <v>440</v>
      </c>
      <c r="E2107" s="197" t="s">
        <v>638</v>
      </c>
      <c r="F2107" s="197" t="s">
        <v>652</v>
      </c>
      <c r="G2107" s="197" t="s">
        <v>688</v>
      </c>
    </row>
    <row r="2108" spans="1:7" hidden="1">
      <c r="A2108" s="197" t="s">
        <v>1319</v>
      </c>
      <c r="B2108" s="198">
        <v>8200</v>
      </c>
      <c r="C2108" s="198">
        <v>0</v>
      </c>
      <c r="D2108" s="197" t="s">
        <v>442</v>
      </c>
      <c r="E2108" s="197" t="s">
        <v>638</v>
      </c>
      <c r="F2108" s="197" t="s">
        <v>396</v>
      </c>
      <c r="G2108" s="197" t="s">
        <v>688</v>
      </c>
    </row>
    <row r="2109" spans="1:7" hidden="1">
      <c r="A2109" s="197" t="s">
        <v>1320</v>
      </c>
      <c r="B2109" s="198">
        <v>-30700</v>
      </c>
      <c r="C2109" s="198">
        <v>0</v>
      </c>
      <c r="D2109" s="197" t="s">
        <v>440</v>
      </c>
      <c r="E2109" s="197" t="s">
        <v>638</v>
      </c>
      <c r="F2109" s="197" t="s">
        <v>409</v>
      </c>
      <c r="G2109" s="197" t="s">
        <v>688</v>
      </c>
    </row>
    <row r="2110" spans="1:7" hidden="1">
      <c r="A2110" s="197" t="s">
        <v>1321</v>
      </c>
      <c r="B2110" s="198">
        <v>43000</v>
      </c>
      <c r="C2110" s="198">
        <v>0</v>
      </c>
      <c r="D2110" s="197" t="s">
        <v>440</v>
      </c>
      <c r="E2110" s="197" t="s">
        <v>638</v>
      </c>
      <c r="F2110" s="197" t="s">
        <v>652</v>
      </c>
      <c r="G2110" s="197" t="s">
        <v>688</v>
      </c>
    </row>
    <row r="2111" spans="1:7" hidden="1">
      <c r="A2111" s="197" t="s">
        <v>1322</v>
      </c>
      <c r="B2111" s="198">
        <v>20000</v>
      </c>
      <c r="C2111" s="198">
        <v>0</v>
      </c>
      <c r="D2111" s="197" t="s">
        <v>440</v>
      </c>
      <c r="E2111" s="197" t="s">
        <v>638</v>
      </c>
      <c r="F2111" s="197" t="s">
        <v>652</v>
      </c>
      <c r="G2111" s="197" t="s">
        <v>688</v>
      </c>
    </row>
    <row r="2112" spans="1:7" hidden="1">
      <c r="A2112" s="197" t="s">
        <v>1323</v>
      </c>
      <c r="B2112" s="198">
        <v>4200</v>
      </c>
      <c r="C2112" s="198">
        <v>0</v>
      </c>
      <c r="D2112" s="197" t="s">
        <v>442</v>
      </c>
      <c r="E2112" s="197" t="s">
        <v>638</v>
      </c>
      <c r="F2112" s="197" t="s">
        <v>396</v>
      </c>
      <c r="G2112" s="197" t="s">
        <v>688</v>
      </c>
    </row>
    <row r="2113" spans="1:7" hidden="1">
      <c r="A2113" s="197" t="s">
        <v>1324</v>
      </c>
      <c r="B2113" s="198">
        <v>31400</v>
      </c>
      <c r="C2113" s="198">
        <v>0</v>
      </c>
      <c r="D2113" s="197" t="s">
        <v>440</v>
      </c>
      <c r="E2113" s="197" t="s">
        <v>638</v>
      </c>
      <c r="F2113" s="197" t="s">
        <v>652</v>
      </c>
      <c r="G2113" s="197" t="s">
        <v>688</v>
      </c>
    </row>
    <row r="2114" spans="1:7" hidden="1">
      <c r="A2114" s="197" t="s">
        <v>1325</v>
      </c>
      <c r="B2114" s="198">
        <v>4000</v>
      </c>
      <c r="C2114" s="198">
        <v>0</v>
      </c>
      <c r="D2114" s="197" t="s">
        <v>442</v>
      </c>
      <c r="E2114" s="197" t="s">
        <v>638</v>
      </c>
      <c r="F2114" s="197" t="s">
        <v>396</v>
      </c>
      <c r="G2114" s="197" t="s">
        <v>688</v>
      </c>
    </row>
    <row r="2115" spans="1:7" hidden="1">
      <c r="A2115" s="197" t="s">
        <v>1326</v>
      </c>
      <c r="B2115" s="198">
        <v>2700</v>
      </c>
      <c r="C2115" s="198">
        <v>0</v>
      </c>
      <c r="D2115" s="197" t="s">
        <v>442</v>
      </c>
      <c r="E2115" s="197" t="s">
        <v>638</v>
      </c>
      <c r="F2115" s="197" t="s">
        <v>396</v>
      </c>
      <c r="G2115" s="197" t="s">
        <v>688</v>
      </c>
    </row>
    <row r="2116" spans="1:7" hidden="1">
      <c r="A2116" s="197" t="s">
        <v>1327</v>
      </c>
      <c r="B2116" s="198">
        <v>2900</v>
      </c>
      <c r="C2116" s="198">
        <v>0</v>
      </c>
      <c r="D2116" s="197" t="s">
        <v>442</v>
      </c>
      <c r="E2116" s="197" t="s">
        <v>638</v>
      </c>
      <c r="F2116" s="197" t="s">
        <v>396</v>
      </c>
      <c r="G2116" s="197" t="s">
        <v>688</v>
      </c>
    </row>
    <row r="2117" spans="1:7" hidden="1">
      <c r="A2117" s="197" t="s">
        <v>1328</v>
      </c>
      <c r="B2117" s="198">
        <v>106400</v>
      </c>
      <c r="C2117" s="198">
        <v>0</v>
      </c>
      <c r="D2117" s="197" t="s">
        <v>440</v>
      </c>
      <c r="E2117" s="197" t="s">
        <v>638</v>
      </c>
      <c r="F2117" s="197" t="s">
        <v>652</v>
      </c>
      <c r="G2117" s="197" t="s">
        <v>688</v>
      </c>
    </row>
    <row r="2118" spans="1:7" hidden="1">
      <c r="A2118" s="197" t="s">
        <v>1329</v>
      </c>
      <c r="B2118" s="198">
        <v>6100</v>
      </c>
      <c r="C2118" s="198">
        <v>0</v>
      </c>
      <c r="D2118" s="197" t="s">
        <v>440</v>
      </c>
      <c r="E2118" s="197" t="s">
        <v>638</v>
      </c>
      <c r="F2118" s="197" t="s">
        <v>652</v>
      </c>
      <c r="G2118" s="197" t="s">
        <v>688</v>
      </c>
    </row>
    <row r="2119" spans="1:7" hidden="1">
      <c r="A2119" s="197" t="s">
        <v>1330</v>
      </c>
      <c r="B2119" s="198">
        <v>40600</v>
      </c>
      <c r="C2119" s="198">
        <v>0</v>
      </c>
      <c r="D2119" s="197" t="s">
        <v>440</v>
      </c>
      <c r="E2119" s="197" t="s">
        <v>638</v>
      </c>
      <c r="F2119" s="197" t="s">
        <v>652</v>
      </c>
      <c r="G2119" s="197" t="s">
        <v>688</v>
      </c>
    </row>
    <row r="2120" spans="1:7" hidden="1">
      <c r="A2120" s="197" t="s">
        <v>1331</v>
      </c>
      <c r="B2120" s="198">
        <v>100600</v>
      </c>
      <c r="C2120" s="198">
        <v>0</v>
      </c>
      <c r="D2120" s="197" t="s">
        <v>440</v>
      </c>
      <c r="E2120" s="197" t="s">
        <v>638</v>
      </c>
      <c r="F2120" s="197" t="s">
        <v>652</v>
      </c>
      <c r="G2120" s="197" t="s">
        <v>688</v>
      </c>
    </row>
    <row r="2121" spans="1:7" hidden="1">
      <c r="A2121" s="197" t="s">
        <v>1332</v>
      </c>
      <c r="B2121" s="198">
        <v>15000</v>
      </c>
      <c r="C2121" s="198">
        <v>0</v>
      </c>
      <c r="D2121" s="197" t="s">
        <v>440</v>
      </c>
      <c r="E2121" s="197" t="s">
        <v>638</v>
      </c>
      <c r="F2121" s="197" t="s">
        <v>652</v>
      </c>
      <c r="G2121" s="197" t="s">
        <v>688</v>
      </c>
    </row>
    <row r="2122" spans="1:7" hidden="1">
      <c r="A2122" s="197" t="s">
        <v>1333</v>
      </c>
      <c r="B2122" s="198">
        <v>92100</v>
      </c>
      <c r="C2122" s="198">
        <v>0</v>
      </c>
      <c r="D2122" s="197" t="s">
        <v>440</v>
      </c>
      <c r="E2122" s="197" t="s">
        <v>638</v>
      </c>
      <c r="F2122" s="197" t="s">
        <v>652</v>
      </c>
      <c r="G2122" s="197" t="s">
        <v>688</v>
      </c>
    </row>
    <row r="2123" spans="1:7" hidden="1">
      <c r="A2123" s="197" t="s">
        <v>1334</v>
      </c>
      <c r="B2123" s="198">
        <v>110000</v>
      </c>
      <c r="C2123" s="198">
        <v>0</v>
      </c>
      <c r="D2123" s="197" t="s">
        <v>440</v>
      </c>
      <c r="E2123" s="197" t="s">
        <v>638</v>
      </c>
      <c r="F2123" s="197" t="s">
        <v>652</v>
      </c>
      <c r="G2123" s="197" t="s">
        <v>688</v>
      </c>
    </row>
    <row r="2124" spans="1:7" hidden="1">
      <c r="A2124" s="197" t="s">
        <v>1335</v>
      </c>
      <c r="B2124" s="198">
        <v>33200</v>
      </c>
      <c r="C2124" s="198">
        <v>0</v>
      </c>
      <c r="D2124" s="197" t="s">
        <v>440</v>
      </c>
      <c r="E2124" s="197" t="s">
        <v>638</v>
      </c>
      <c r="F2124" s="197" t="s">
        <v>652</v>
      </c>
      <c r="G2124" s="197" t="s">
        <v>688</v>
      </c>
    </row>
    <row r="2125" spans="1:7" hidden="1">
      <c r="A2125" s="197" t="s">
        <v>1336</v>
      </c>
      <c r="B2125" s="198">
        <v>40000</v>
      </c>
      <c r="C2125" s="198">
        <v>0</v>
      </c>
      <c r="D2125" s="197" t="s">
        <v>440</v>
      </c>
      <c r="E2125" s="197" t="s">
        <v>638</v>
      </c>
      <c r="F2125" s="197" t="s">
        <v>652</v>
      </c>
      <c r="G2125" s="197" t="s">
        <v>688</v>
      </c>
    </row>
    <row r="2126" spans="1:7" hidden="1">
      <c r="A2126" s="197" t="s">
        <v>1337</v>
      </c>
      <c r="B2126" s="198">
        <v>112351</v>
      </c>
      <c r="C2126" s="198">
        <v>0</v>
      </c>
      <c r="D2126" s="197" t="s">
        <v>440</v>
      </c>
      <c r="E2126" s="197" t="s">
        <v>638</v>
      </c>
      <c r="F2126" s="197" t="s">
        <v>652</v>
      </c>
      <c r="G2126" s="197" t="s">
        <v>688</v>
      </c>
    </row>
    <row r="2127" spans="1:7" hidden="1">
      <c r="A2127" s="197" t="s">
        <v>1338</v>
      </c>
      <c r="B2127" s="198">
        <v>33100</v>
      </c>
      <c r="C2127" s="198">
        <v>0</v>
      </c>
      <c r="D2127" s="197" t="s">
        <v>440</v>
      </c>
      <c r="E2127" s="197" t="s">
        <v>638</v>
      </c>
      <c r="F2127" s="197" t="s">
        <v>652</v>
      </c>
      <c r="G2127" s="197" t="s">
        <v>688</v>
      </c>
    </row>
    <row r="2128" spans="1:7" hidden="1">
      <c r="A2128" s="197" t="s">
        <v>1339</v>
      </c>
      <c r="B2128" s="198">
        <v>11700</v>
      </c>
      <c r="C2128" s="198">
        <v>0</v>
      </c>
      <c r="D2128" s="197" t="s">
        <v>440</v>
      </c>
      <c r="E2128" s="197" t="s">
        <v>638</v>
      </c>
      <c r="F2128" s="197" t="s">
        <v>652</v>
      </c>
      <c r="G2128" s="197" t="s">
        <v>688</v>
      </c>
    </row>
    <row r="2129" spans="1:7" hidden="1">
      <c r="A2129" s="197" t="s">
        <v>1340</v>
      </c>
      <c r="B2129" s="198">
        <v>70000</v>
      </c>
      <c r="C2129" s="198">
        <v>0</v>
      </c>
      <c r="D2129" s="197" t="s">
        <v>440</v>
      </c>
      <c r="E2129" s="197" t="s">
        <v>638</v>
      </c>
      <c r="F2129" s="197" t="s">
        <v>652</v>
      </c>
      <c r="G2129" s="197" t="s">
        <v>688</v>
      </c>
    </row>
    <row r="2130" spans="1:7" hidden="1">
      <c r="A2130" s="197" t="s">
        <v>1341</v>
      </c>
      <c r="B2130" s="198">
        <v>55300</v>
      </c>
      <c r="C2130" s="198">
        <v>0</v>
      </c>
      <c r="D2130" s="197" t="s">
        <v>440</v>
      </c>
      <c r="E2130" s="197" t="s">
        <v>638</v>
      </c>
      <c r="F2130" s="197" t="s">
        <v>652</v>
      </c>
      <c r="G2130" s="197" t="s">
        <v>688</v>
      </c>
    </row>
    <row r="2131" spans="1:7" hidden="1">
      <c r="A2131" s="197" t="s">
        <v>1342</v>
      </c>
      <c r="B2131" s="198">
        <v>13900</v>
      </c>
      <c r="C2131" s="198">
        <v>0</v>
      </c>
      <c r="D2131" s="197" t="s">
        <v>442</v>
      </c>
      <c r="E2131" s="197" t="s">
        <v>638</v>
      </c>
      <c r="F2131" s="197" t="s">
        <v>396</v>
      </c>
      <c r="G2131" s="197" t="s">
        <v>688</v>
      </c>
    </row>
    <row r="2132" spans="1:7" hidden="1">
      <c r="A2132" s="197" t="s">
        <v>1343</v>
      </c>
      <c r="B2132" s="198">
        <v>10800</v>
      </c>
      <c r="C2132" s="198">
        <v>0</v>
      </c>
      <c r="D2132" s="197" t="s">
        <v>440</v>
      </c>
      <c r="E2132" s="197" t="s">
        <v>638</v>
      </c>
      <c r="F2132" s="197" t="s">
        <v>652</v>
      </c>
      <c r="G2132" s="197" t="s">
        <v>688</v>
      </c>
    </row>
    <row r="2133" spans="1:7" hidden="1">
      <c r="A2133" s="197" t="s">
        <v>1344</v>
      </c>
      <c r="B2133" s="198">
        <v>17898</v>
      </c>
      <c r="C2133" s="198">
        <v>0</v>
      </c>
      <c r="D2133" s="197" t="s">
        <v>440</v>
      </c>
      <c r="E2133" s="197" t="s">
        <v>638</v>
      </c>
      <c r="F2133" s="197" t="s">
        <v>652</v>
      </c>
      <c r="G2133" s="197" t="s">
        <v>688</v>
      </c>
    </row>
    <row r="2134" spans="1:7" hidden="1">
      <c r="A2134" s="197" t="s">
        <v>1345</v>
      </c>
      <c r="B2134" s="198">
        <v>4300</v>
      </c>
      <c r="C2134" s="198">
        <v>0</v>
      </c>
      <c r="D2134" s="197" t="s">
        <v>442</v>
      </c>
      <c r="E2134" s="197" t="s">
        <v>638</v>
      </c>
      <c r="F2134" s="197" t="s">
        <v>396</v>
      </c>
      <c r="G2134" s="197" t="s">
        <v>688</v>
      </c>
    </row>
    <row r="2135" spans="1:7" hidden="1">
      <c r="A2135" s="197" t="s">
        <v>1346</v>
      </c>
      <c r="B2135" s="198">
        <v>17800</v>
      </c>
      <c r="C2135" s="198">
        <v>0</v>
      </c>
      <c r="D2135" s="197" t="s">
        <v>440</v>
      </c>
      <c r="E2135" s="197" t="s">
        <v>638</v>
      </c>
      <c r="F2135" s="197" t="s">
        <v>652</v>
      </c>
      <c r="G2135" s="197" t="s">
        <v>688</v>
      </c>
    </row>
    <row r="2136" spans="1:7" hidden="1">
      <c r="A2136" s="197" t="s">
        <v>1347</v>
      </c>
      <c r="B2136" s="198">
        <v>-64000</v>
      </c>
      <c r="C2136" s="198">
        <v>0</v>
      </c>
      <c r="D2136" s="197" t="s">
        <v>440</v>
      </c>
      <c r="E2136" s="197" t="s">
        <v>638</v>
      </c>
      <c r="F2136" s="197" t="s">
        <v>652</v>
      </c>
      <c r="G2136" s="197" t="s">
        <v>688</v>
      </c>
    </row>
    <row r="2137" spans="1:7" hidden="1">
      <c r="A2137" s="197" t="s">
        <v>1348</v>
      </c>
      <c r="B2137" s="198">
        <v>-9900</v>
      </c>
      <c r="C2137" s="198">
        <v>0</v>
      </c>
      <c r="D2137" s="197" t="s">
        <v>442</v>
      </c>
      <c r="E2137" s="197" t="s">
        <v>638</v>
      </c>
      <c r="F2137" s="197" t="s">
        <v>396</v>
      </c>
      <c r="G2137" s="197" t="s">
        <v>688</v>
      </c>
    </row>
    <row r="2138" spans="1:7" hidden="1">
      <c r="A2138" s="197" t="s">
        <v>1349</v>
      </c>
      <c r="B2138" s="198">
        <v>-74000</v>
      </c>
      <c r="C2138" s="198">
        <v>0</v>
      </c>
      <c r="D2138" s="197" t="s">
        <v>440</v>
      </c>
      <c r="E2138" s="197" t="s">
        <v>638</v>
      </c>
      <c r="F2138" s="197" t="s">
        <v>409</v>
      </c>
      <c r="G2138" s="197" t="s">
        <v>688</v>
      </c>
    </row>
    <row r="2139" spans="1:7" hidden="1">
      <c r="A2139" s="197" t="s">
        <v>1350</v>
      </c>
      <c r="B2139" s="198">
        <v>4900</v>
      </c>
      <c r="C2139" s="198">
        <v>0</v>
      </c>
      <c r="D2139" s="197" t="s">
        <v>442</v>
      </c>
      <c r="E2139" s="197" t="s">
        <v>638</v>
      </c>
      <c r="F2139" s="197" t="s">
        <v>396</v>
      </c>
      <c r="G2139" s="197" t="s">
        <v>688</v>
      </c>
    </row>
    <row r="2140" spans="1:7" hidden="1">
      <c r="A2140" s="197" t="s">
        <v>1351</v>
      </c>
      <c r="B2140" s="198">
        <v>122000</v>
      </c>
      <c r="C2140" s="198">
        <v>0</v>
      </c>
      <c r="D2140" s="197" t="s">
        <v>440</v>
      </c>
      <c r="E2140" s="197" t="s">
        <v>638</v>
      </c>
      <c r="F2140" s="197" t="s">
        <v>652</v>
      </c>
      <c r="G2140" s="197" t="s">
        <v>688</v>
      </c>
    </row>
    <row r="2141" spans="1:7" hidden="1">
      <c r="A2141" s="197" t="s">
        <v>1352</v>
      </c>
      <c r="B2141" s="198">
        <v>10900</v>
      </c>
      <c r="C2141" s="198">
        <v>0</v>
      </c>
      <c r="D2141" s="197" t="s">
        <v>440</v>
      </c>
      <c r="E2141" s="197" t="s">
        <v>638</v>
      </c>
      <c r="F2141" s="197" t="s">
        <v>652</v>
      </c>
      <c r="G2141" s="197" t="s">
        <v>688</v>
      </c>
    </row>
    <row r="2142" spans="1:7" hidden="1">
      <c r="A2142" s="197" t="s">
        <v>1353</v>
      </c>
      <c r="B2142" s="198">
        <v>14800</v>
      </c>
      <c r="C2142" s="198">
        <v>0</v>
      </c>
      <c r="D2142" s="197" t="s">
        <v>440</v>
      </c>
      <c r="E2142" s="197" t="s">
        <v>638</v>
      </c>
      <c r="F2142" s="197" t="s">
        <v>652</v>
      </c>
      <c r="G2142" s="197" t="s">
        <v>688</v>
      </c>
    </row>
    <row r="2143" spans="1:7" hidden="1">
      <c r="A2143" s="197" t="s">
        <v>1354</v>
      </c>
      <c r="B2143" s="198">
        <v>27700</v>
      </c>
      <c r="C2143" s="198">
        <v>0</v>
      </c>
      <c r="D2143" s="197" t="s">
        <v>440</v>
      </c>
      <c r="E2143" s="197" t="s">
        <v>638</v>
      </c>
      <c r="F2143" s="197" t="s">
        <v>652</v>
      </c>
      <c r="G2143" s="197" t="s">
        <v>688</v>
      </c>
    </row>
    <row r="2144" spans="1:7" hidden="1">
      <c r="A2144" s="197" t="s">
        <v>1355</v>
      </c>
      <c r="B2144" s="198">
        <v>2600</v>
      </c>
      <c r="C2144" s="198">
        <v>0</v>
      </c>
      <c r="D2144" s="197" t="s">
        <v>440</v>
      </c>
      <c r="E2144" s="197" t="s">
        <v>638</v>
      </c>
      <c r="F2144" s="197" t="s">
        <v>652</v>
      </c>
      <c r="G2144" s="197" t="s">
        <v>688</v>
      </c>
    </row>
    <row r="2145" spans="1:7" hidden="1">
      <c r="A2145" s="197" t="s">
        <v>1356</v>
      </c>
      <c r="B2145" s="198">
        <v>92990</v>
      </c>
      <c r="C2145" s="198">
        <v>0</v>
      </c>
      <c r="D2145" s="197" t="s">
        <v>440</v>
      </c>
      <c r="E2145" s="197" t="s">
        <v>638</v>
      </c>
      <c r="F2145" s="197" t="s">
        <v>652</v>
      </c>
      <c r="G2145" s="197" t="s">
        <v>688</v>
      </c>
    </row>
    <row r="2146" spans="1:7" hidden="1">
      <c r="A2146" s="197" t="s">
        <v>1357</v>
      </c>
      <c r="B2146" s="198">
        <v>31200</v>
      </c>
      <c r="C2146" s="198">
        <v>0</v>
      </c>
      <c r="D2146" s="197" t="s">
        <v>440</v>
      </c>
      <c r="E2146" s="197" t="s">
        <v>638</v>
      </c>
      <c r="F2146" s="197" t="s">
        <v>409</v>
      </c>
      <c r="G2146" s="197" t="s">
        <v>688</v>
      </c>
    </row>
    <row r="2147" spans="1:7" hidden="1">
      <c r="A2147" s="197" t="s">
        <v>1358</v>
      </c>
      <c r="B2147" s="198">
        <v>11200</v>
      </c>
      <c r="C2147" s="198">
        <v>0</v>
      </c>
      <c r="D2147" s="197" t="s">
        <v>440</v>
      </c>
      <c r="E2147" s="197" t="s">
        <v>638</v>
      </c>
      <c r="F2147" s="197" t="s">
        <v>652</v>
      </c>
      <c r="G2147" s="197" t="s">
        <v>688</v>
      </c>
    </row>
    <row r="2148" spans="1:7" hidden="1">
      <c r="A2148" s="197" t="s">
        <v>1359</v>
      </c>
      <c r="B2148" s="198">
        <v>20400</v>
      </c>
      <c r="C2148" s="198">
        <v>0</v>
      </c>
      <c r="D2148" s="197" t="s">
        <v>440</v>
      </c>
      <c r="E2148" s="197" t="s">
        <v>638</v>
      </c>
      <c r="F2148" s="197" t="s">
        <v>652</v>
      </c>
      <c r="G2148" s="197" t="s">
        <v>688</v>
      </c>
    </row>
    <row r="2149" spans="1:7" hidden="1">
      <c r="A2149" s="197" t="s">
        <v>1360</v>
      </c>
      <c r="B2149" s="198">
        <v>23800</v>
      </c>
      <c r="C2149" s="198">
        <v>0</v>
      </c>
      <c r="D2149" s="197" t="s">
        <v>440</v>
      </c>
      <c r="E2149" s="197" t="s">
        <v>638</v>
      </c>
      <c r="F2149" s="197" t="s">
        <v>652</v>
      </c>
      <c r="G2149" s="197" t="s">
        <v>688</v>
      </c>
    </row>
    <row r="2150" spans="1:7" hidden="1">
      <c r="A2150" s="197" t="s">
        <v>1361</v>
      </c>
      <c r="B2150" s="198">
        <v>32800</v>
      </c>
      <c r="C2150" s="198">
        <v>0</v>
      </c>
      <c r="D2150" s="197" t="s">
        <v>440</v>
      </c>
      <c r="E2150" s="197" t="s">
        <v>638</v>
      </c>
      <c r="F2150" s="197" t="s">
        <v>652</v>
      </c>
      <c r="G2150" s="197" t="s">
        <v>688</v>
      </c>
    </row>
    <row r="2151" spans="1:7" hidden="1">
      <c r="A2151" s="197" t="s">
        <v>1362</v>
      </c>
      <c r="B2151" s="198">
        <v>15000</v>
      </c>
      <c r="C2151" s="198">
        <v>0</v>
      </c>
      <c r="D2151" s="197" t="s">
        <v>440</v>
      </c>
      <c r="E2151" s="197" t="s">
        <v>638</v>
      </c>
      <c r="F2151" s="197" t="s">
        <v>652</v>
      </c>
      <c r="G2151" s="197" t="s">
        <v>688</v>
      </c>
    </row>
    <row r="2152" spans="1:7" hidden="1">
      <c r="A2152" s="197" t="s">
        <v>1363</v>
      </c>
      <c r="B2152" s="198">
        <v>13400</v>
      </c>
      <c r="C2152" s="198">
        <v>0</v>
      </c>
      <c r="D2152" s="197" t="s">
        <v>440</v>
      </c>
      <c r="E2152" s="197" t="s">
        <v>638</v>
      </c>
      <c r="F2152" s="197" t="s">
        <v>409</v>
      </c>
      <c r="G2152" s="197" t="s">
        <v>688</v>
      </c>
    </row>
    <row r="2153" spans="1:7" hidden="1">
      <c r="A2153" s="197" t="s">
        <v>1364</v>
      </c>
      <c r="B2153" s="198">
        <v>8300</v>
      </c>
      <c r="C2153" s="198">
        <v>0</v>
      </c>
      <c r="D2153" s="197" t="s">
        <v>440</v>
      </c>
      <c r="E2153" s="197" t="s">
        <v>638</v>
      </c>
      <c r="F2153" s="197" t="s">
        <v>652</v>
      </c>
      <c r="G2153" s="197" t="s">
        <v>688</v>
      </c>
    </row>
    <row r="2154" spans="1:7" hidden="1">
      <c r="A2154" s="197" t="s">
        <v>1365</v>
      </c>
      <c r="B2154" s="198">
        <v>16500</v>
      </c>
      <c r="C2154" s="198">
        <v>0</v>
      </c>
      <c r="D2154" s="197" t="s">
        <v>440</v>
      </c>
      <c r="E2154" s="197" t="s">
        <v>638</v>
      </c>
      <c r="F2154" s="197" t="s">
        <v>652</v>
      </c>
      <c r="G2154" s="197" t="s">
        <v>688</v>
      </c>
    </row>
    <row r="2155" spans="1:7" hidden="1">
      <c r="A2155" s="197" t="s">
        <v>1366</v>
      </c>
      <c r="B2155" s="198">
        <v>5000</v>
      </c>
      <c r="C2155" s="198">
        <v>0</v>
      </c>
      <c r="D2155" s="197" t="s">
        <v>440</v>
      </c>
      <c r="E2155" s="197" t="s">
        <v>638</v>
      </c>
      <c r="F2155" s="197" t="s">
        <v>652</v>
      </c>
      <c r="G2155" s="197" t="s">
        <v>688</v>
      </c>
    </row>
    <row r="2156" spans="1:7" hidden="1">
      <c r="A2156" s="197" t="s">
        <v>1367</v>
      </c>
      <c r="B2156" s="198">
        <v>2800</v>
      </c>
      <c r="C2156" s="198">
        <v>0</v>
      </c>
      <c r="D2156" s="197" t="s">
        <v>442</v>
      </c>
      <c r="E2156" s="197" t="s">
        <v>638</v>
      </c>
      <c r="F2156" s="197" t="s">
        <v>396</v>
      </c>
      <c r="G2156" s="197" t="s">
        <v>688</v>
      </c>
    </row>
    <row r="2157" spans="1:7" hidden="1">
      <c r="A2157" s="197" t="s">
        <v>1368</v>
      </c>
      <c r="B2157" s="198">
        <v>29200</v>
      </c>
      <c r="C2157" s="198">
        <v>0</v>
      </c>
      <c r="D2157" s="197" t="s">
        <v>440</v>
      </c>
      <c r="E2157" s="197" t="s">
        <v>638</v>
      </c>
      <c r="F2157" s="197" t="s">
        <v>652</v>
      </c>
      <c r="G2157" s="197" t="s">
        <v>688</v>
      </c>
    </row>
    <row r="2158" spans="1:7" hidden="1">
      <c r="A2158" s="197" t="s">
        <v>1369</v>
      </c>
      <c r="B2158" s="198">
        <v>26900</v>
      </c>
      <c r="C2158" s="198">
        <v>0</v>
      </c>
      <c r="D2158" s="197" t="s">
        <v>440</v>
      </c>
      <c r="E2158" s="197" t="s">
        <v>638</v>
      </c>
      <c r="F2158" s="197" t="s">
        <v>652</v>
      </c>
      <c r="G2158" s="197" t="s">
        <v>688</v>
      </c>
    </row>
    <row r="2159" spans="1:7" hidden="1">
      <c r="A2159" s="197" t="s">
        <v>1370</v>
      </c>
      <c r="B2159" s="198">
        <v>85700</v>
      </c>
      <c r="C2159" s="198">
        <v>0</v>
      </c>
      <c r="D2159" s="197" t="s">
        <v>440</v>
      </c>
      <c r="E2159" s="197" t="s">
        <v>638</v>
      </c>
      <c r="F2159" s="197" t="s">
        <v>652</v>
      </c>
      <c r="G2159" s="197" t="s">
        <v>688</v>
      </c>
    </row>
    <row r="2160" spans="1:7" hidden="1">
      <c r="A2160" s="197" t="s">
        <v>1371</v>
      </c>
      <c r="B2160" s="198">
        <v>20000</v>
      </c>
      <c r="C2160" s="198">
        <v>0</v>
      </c>
      <c r="D2160" s="197" t="s">
        <v>440</v>
      </c>
      <c r="E2160" s="197" t="s">
        <v>638</v>
      </c>
      <c r="F2160" s="197" t="s">
        <v>652</v>
      </c>
      <c r="G2160" s="197" t="s">
        <v>688</v>
      </c>
    </row>
    <row r="2161" spans="1:7" hidden="1">
      <c r="A2161" s="197" t="s">
        <v>1372</v>
      </c>
      <c r="B2161" s="198">
        <v>10400</v>
      </c>
      <c r="C2161" s="198">
        <v>0</v>
      </c>
      <c r="D2161" s="197" t="s">
        <v>440</v>
      </c>
      <c r="E2161" s="197" t="s">
        <v>638</v>
      </c>
      <c r="F2161" s="197" t="s">
        <v>652</v>
      </c>
      <c r="G2161" s="197" t="s">
        <v>688</v>
      </c>
    </row>
    <row r="2162" spans="1:7" hidden="1">
      <c r="A2162" s="197" t="s">
        <v>1373</v>
      </c>
      <c r="B2162" s="198">
        <v>14700</v>
      </c>
      <c r="C2162" s="198">
        <v>0</v>
      </c>
      <c r="D2162" s="197" t="s">
        <v>440</v>
      </c>
      <c r="E2162" s="197" t="s">
        <v>638</v>
      </c>
      <c r="F2162" s="197" t="s">
        <v>652</v>
      </c>
      <c r="G2162" s="197" t="s">
        <v>688</v>
      </c>
    </row>
    <row r="2163" spans="1:7" hidden="1">
      <c r="A2163" s="197" t="s">
        <v>1374</v>
      </c>
      <c r="B2163" s="198">
        <v>1800</v>
      </c>
      <c r="C2163" s="198">
        <v>0</v>
      </c>
      <c r="D2163" s="197" t="s">
        <v>442</v>
      </c>
      <c r="E2163" s="197" t="s">
        <v>638</v>
      </c>
      <c r="F2163" s="197" t="s">
        <v>396</v>
      </c>
      <c r="G2163" s="197" t="s">
        <v>688</v>
      </c>
    </row>
    <row r="2164" spans="1:7" hidden="1">
      <c r="A2164" s="197" t="s">
        <v>1375</v>
      </c>
      <c r="B2164" s="198">
        <v>28200</v>
      </c>
      <c r="C2164" s="198">
        <v>0</v>
      </c>
      <c r="D2164" s="197" t="s">
        <v>440</v>
      </c>
      <c r="E2164" s="197" t="s">
        <v>638</v>
      </c>
      <c r="F2164" s="197" t="s">
        <v>652</v>
      </c>
      <c r="G2164" s="197" t="s">
        <v>688</v>
      </c>
    </row>
    <row r="2165" spans="1:7" hidden="1">
      <c r="A2165" s="197" t="s">
        <v>1376</v>
      </c>
      <c r="B2165" s="198">
        <v>14100</v>
      </c>
      <c r="C2165" s="198">
        <v>0</v>
      </c>
      <c r="D2165" s="197" t="s">
        <v>440</v>
      </c>
      <c r="E2165" s="197" t="s">
        <v>638</v>
      </c>
      <c r="F2165" s="197" t="s">
        <v>652</v>
      </c>
      <c r="G2165" s="197" t="s">
        <v>688</v>
      </c>
    </row>
    <row r="2166" spans="1:7" hidden="1">
      <c r="A2166" s="197" t="s">
        <v>1377</v>
      </c>
      <c r="B2166" s="198">
        <v>1300</v>
      </c>
      <c r="C2166" s="198">
        <v>0</v>
      </c>
      <c r="D2166" s="197" t="s">
        <v>442</v>
      </c>
      <c r="E2166" s="197" t="s">
        <v>638</v>
      </c>
      <c r="F2166" s="197" t="s">
        <v>396</v>
      </c>
      <c r="G2166" s="197" t="s">
        <v>688</v>
      </c>
    </row>
    <row r="2167" spans="1:7" hidden="1">
      <c r="A2167" s="197" t="s">
        <v>1378</v>
      </c>
      <c r="B2167" s="198">
        <v>13200</v>
      </c>
      <c r="C2167" s="198">
        <v>0</v>
      </c>
      <c r="D2167" s="197" t="s">
        <v>440</v>
      </c>
      <c r="E2167" s="197" t="s">
        <v>638</v>
      </c>
      <c r="F2167" s="197" t="s">
        <v>652</v>
      </c>
      <c r="G2167" s="197" t="s">
        <v>688</v>
      </c>
    </row>
    <row r="2168" spans="1:7" hidden="1">
      <c r="A2168" s="197" t="s">
        <v>1379</v>
      </c>
      <c r="B2168" s="198">
        <v>1300</v>
      </c>
      <c r="C2168" s="198">
        <v>0</v>
      </c>
      <c r="D2168" s="197" t="s">
        <v>442</v>
      </c>
      <c r="E2168" s="197" t="s">
        <v>638</v>
      </c>
      <c r="F2168" s="197" t="s">
        <v>396</v>
      </c>
      <c r="G2168" s="197" t="s">
        <v>688</v>
      </c>
    </row>
    <row r="2169" spans="1:7" hidden="1">
      <c r="A2169" s="197" t="s">
        <v>1380</v>
      </c>
      <c r="B2169" s="198">
        <v>6900</v>
      </c>
      <c r="C2169" s="198">
        <v>0</v>
      </c>
      <c r="D2169" s="197" t="s">
        <v>440</v>
      </c>
      <c r="E2169" s="197" t="s">
        <v>638</v>
      </c>
      <c r="F2169" s="197" t="s">
        <v>652</v>
      </c>
      <c r="G2169" s="197" t="s">
        <v>688</v>
      </c>
    </row>
    <row r="2170" spans="1:7" hidden="1">
      <c r="A2170" s="197" t="s">
        <v>1381</v>
      </c>
      <c r="B2170" s="198">
        <v>14500</v>
      </c>
      <c r="C2170" s="198">
        <v>0</v>
      </c>
      <c r="D2170" s="197" t="s">
        <v>442</v>
      </c>
      <c r="E2170" s="197" t="s">
        <v>638</v>
      </c>
      <c r="F2170" s="197" t="s">
        <v>396</v>
      </c>
      <c r="G2170" s="197" t="s">
        <v>688</v>
      </c>
    </row>
    <row r="2171" spans="1:7" hidden="1">
      <c r="A2171" s="197" t="s">
        <v>1382</v>
      </c>
      <c r="B2171" s="198">
        <v>5500</v>
      </c>
      <c r="C2171" s="198">
        <v>0</v>
      </c>
      <c r="D2171" s="197" t="s">
        <v>440</v>
      </c>
      <c r="E2171" s="197" t="s">
        <v>638</v>
      </c>
      <c r="F2171" s="197" t="s">
        <v>652</v>
      </c>
      <c r="G2171" s="197" t="s">
        <v>688</v>
      </c>
    </row>
    <row r="2172" spans="1:7" hidden="1">
      <c r="A2172" s="197" t="s">
        <v>1383</v>
      </c>
      <c r="B2172" s="198">
        <v>12300</v>
      </c>
      <c r="C2172" s="198">
        <v>0</v>
      </c>
      <c r="D2172" s="197" t="s">
        <v>440</v>
      </c>
      <c r="E2172" s="197" t="s">
        <v>638</v>
      </c>
      <c r="F2172" s="197" t="s">
        <v>652</v>
      </c>
      <c r="G2172" s="197" t="s">
        <v>688</v>
      </c>
    </row>
    <row r="2173" spans="1:7" hidden="1">
      <c r="A2173" s="197" t="s">
        <v>1384</v>
      </c>
      <c r="B2173" s="198">
        <v>8000</v>
      </c>
      <c r="C2173" s="198">
        <v>0</v>
      </c>
      <c r="D2173" s="197" t="s">
        <v>440</v>
      </c>
      <c r="E2173" s="197" t="s">
        <v>638</v>
      </c>
      <c r="F2173" s="197" t="s">
        <v>652</v>
      </c>
      <c r="G2173" s="197" t="s">
        <v>688</v>
      </c>
    </row>
    <row r="2174" spans="1:7" hidden="1">
      <c r="A2174" s="197" t="s">
        <v>1385</v>
      </c>
      <c r="B2174" s="198">
        <v>8500</v>
      </c>
      <c r="C2174" s="198">
        <v>0</v>
      </c>
      <c r="D2174" s="197" t="s">
        <v>440</v>
      </c>
      <c r="E2174" s="197" t="s">
        <v>638</v>
      </c>
      <c r="F2174" s="197" t="s">
        <v>652</v>
      </c>
      <c r="G2174" s="197" t="s">
        <v>688</v>
      </c>
    </row>
    <row r="2175" spans="1:7" hidden="1">
      <c r="A2175" s="197" t="s">
        <v>1386</v>
      </c>
      <c r="B2175" s="198">
        <v>8400</v>
      </c>
      <c r="C2175" s="198">
        <v>0</v>
      </c>
      <c r="D2175" s="197" t="s">
        <v>442</v>
      </c>
      <c r="E2175" s="197" t="s">
        <v>638</v>
      </c>
      <c r="F2175" s="197" t="s">
        <v>396</v>
      </c>
      <c r="G2175" s="197" t="s">
        <v>688</v>
      </c>
    </row>
    <row r="2176" spans="1:7" hidden="1">
      <c r="A2176" s="197" t="s">
        <v>1387</v>
      </c>
      <c r="B2176" s="198">
        <v>82700</v>
      </c>
      <c r="C2176" s="198">
        <v>0</v>
      </c>
      <c r="D2176" s="197" t="s">
        <v>440</v>
      </c>
      <c r="E2176" s="197" t="s">
        <v>638</v>
      </c>
      <c r="F2176" s="197" t="s">
        <v>409</v>
      </c>
      <c r="G2176" s="197" t="s">
        <v>688</v>
      </c>
    </row>
    <row r="2177" spans="1:7" hidden="1">
      <c r="A2177" s="197" t="s">
        <v>1388</v>
      </c>
      <c r="B2177" s="198">
        <v>16200</v>
      </c>
      <c r="C2177" s="198">
        <v>0</v>
      </c>
      <c r="D2177" s="197" t="s">
        <v>442</v>
      </c>
      <c r="E2177" s="197" t="s">
        <v>638</v>
      </c>
      <c r="F2177" s="197" t="s">
        <v>396</v>
      </c>
      <c r="G2177" s="197" t="s">
        <v>688</v>
      </c>
    </row>
    <row r="2178" spans="1:7" hidden="1">
      <c r="A2178" s="197" t="s">
        <v>1389</v>
      </c>
      <c r="B2178" s="198">
        <v>1600</v>
      </c>
      <c r="C2178" s="198">
        <v>0</v>
      </c>
      <c r="D2178" s="197" t="s">
        <v>442</v>
      </c>
      <c r="E2178" s="197" t="s">
        <v>638</v>
      </c>
      <c r="F2178" s="197" t="s">
        <v>396</v>
      </c>
      <c r="G2178" s="197" t="s">
        <v>688</v>
      </c>
    </row>
    <row r="2179" spans="1:7" hidden="1">
      <c r="A2179" s="197" t="s">
        <v>1390</v>
      </c>
      <c r="B2179" s="198">
        <v>1250</v>
      </c>
      <c r="C2179" s="198">
        <v>0</v>
      </c>
      <c r="D2179" s="197" t="s">
        <v>440</v>
      </c>
      <c r="E2179" s="197" t="s">
        <v>638</v>
      </c>
      <c r="F2179" s="197" t="s">
        <v>652</v>
      </c>
      <c r="G2179" s="197" t="s">
        <v>688</v>
      </c>
    </row>
    <row r="2180" spans="1:7" hidden="1">
      <c r="A2180" s="197" t="s">
        <v>1391</v>
      </c>
      <c r="B2180" s="198">
        <v>2513</v>
      </c>
      <c r="C2180" s="198">
        <v>0</v>
      </c>
      <c r="D2180" s="197" t="s">
        <v>440</v>
      </c>
      <c r="E2180" s="197" t="s">
        <v>638</v>
      </c>
      <c r="F2180" s="197" t="s">
        <v>652</v>
      </c>
      <c r="G2180" s="197" t="s">
        <v>688</v>
      </c>
    </row>
    <row r="2181" spans="1:7" hidden="1">
      <c r="A2181" s="197" t="s">
        <v>1392</v>
      </c>
      <c r="B2181" s="198">
        <v>16800</v>
      </c>
      <c r="C2181" s="198">
        <v>0</v>
      </c>
      <c r="D2181" s="197" t="s">
        <v>440</v>
      </c>
      <c r="E2181" s="197" t="s">
        <v>638</v>
      </c>
      <c r="F2181" s="197" t="s">
        <v>652</v>
      </c>
      <c r="G2181" s="197" t="s">
        <v>688</v>
      </c>
    </row>
    <row r="2182" spans="1:7" hidden="1">
      <c r="A2182" s="197" t="s">
        <v>1393</v>
      </c>
      <c r="B2182" s="198">
        <v>1600</v>
      </c>
      <c r="C2182" s="198">
        <v>0</v>
      </c>
      <c r="D2182" s="197" t="s">
        <v>442</v>
      </c>
      <c r="E2182" s="197" t="s">
        <v>638</v>
      </c>
      <c r="F2182" s="197" t="s">
        <v>396</v>
      </c>
      <c r="G2182" s="197" t="s">
        <v>688</v>
      </c>
    </row>
    <row r="2183" spans="1:7" hidden="1">
      <c r="A2183" s="197" t="s">
        <v>1394</v>
      </c>
      <c r="B2183" s="198">
        <v>21400</v>
      </c>
      <c r="C2183" s="198">
        <v>0</v>
      </c>
      <c r="D2183" s="197" t="s">
        <v>440</v>
      </c>
      <c r="E2183" s="197" t="s">
        <v>638</v>
      </c>
      <c r="F2183" s="197" t="s">
        <v>652</v>
      </c>
      <c r="G2183" s="197" t="s">
        <v>688</v>
      </c>
    </row>
    <row r="2184" spans="1:7" hidden="1">
      <c r="A2184" s="197" t="s">
        <v>1395</v>
      </c>
      <c r="B2184" s="198">
        <v>2500</v>
      </c>
      <c r="C2184" s="198">
        <v>0</v>
      </c>
      <c r="D2184" s="197" t="s">
        <v>442</v>
      </c>
      <c r="E2184" s="197" t="s">
        <v>638</v>
      </c>
      <c r="F2184" s="197" t="s">
        <v>396</v>
      </c>
      <c r="G2184" s="197" t="s">
        <v>688</v>
      </c>
    </row>
    <row r="2185" spans="1:7" hidden="1">
      <c r="A2185" s="197" t="s">
        <v>1396</v>
      </c>
      <c r="B2185" s="198">
        <v>2000</v>
      </c>
      <c r="C2185" s="198">
        <v>0</v>
      </c>
      <c r="D2185" s="197" t="s">
        <v>442</v>
      </c>
      <c r="E2185" s="197" t="s">
        <v>638</v>
      </c>
      <c r="F2185" s="197" t="s">
        <v>396</v>
      </c>
      <c r="G2185" s="197" t="s">
        <v>688</v>
      </c>
    </row>
    <row r="2186" spans="1:7" hidden="1">
      <c r="A2186" s="197" t="s">
        <v>1397</v>
      </c>
      <c r="B2186" s="198">
        <v>2000</v>
      </c>
      <c r="C2186" s="198">
        <v>0</v>
      </c>
      <c r="D2186" s="197" t="s">
        <v>442</v>
      </c>
      <c r="E2186" s="197" t="s">
        <v>638</v>
      </c>
      <c r="F2186" s="197" t="s">
        <v>396</v>
      </c>
      <c r="G2186" s="197" t="s">
        <v>688</v>
      </c>
    </row>
    <row r="2187" spans="1:7" hidden="1">
      <c r="A2187" s="197" t="s">
        <v>1398</v>
      </c>
      <c r="B2187" s="198">
        <v>-6300</v>
      </c>
      <c r="C2187" s="198">
        <v>0</v>
      </c>
      <c r="D2187" s="197" t="s">
        <v>440</v>
      </c>
      <c r="E2187" s="197" t="s">
        <v>638</v>
      </c>
      <c r="F2187" s="197" t="s">
        <v>409</v>
      </c>
      <c r="G2187" s="197" t="s">
        <v>688</v>
      </c>
    </row>
    <row r="2188" spans="1:7" hidden="1">
      <c r="A2188" s="197" t="s">
        <v>1399</v>
      </c>
      <c r="B2188" s="198">
        <v>-9100</v>
      </c>
      <c r="C2188" s="198">
        <v>0</v>
      </c>
      <c r="D2188" s="197" t="s">
        <v>440</v>
      </c>
      <c r="E2188" s="197" t="s">
        <v>638</v>
      </c>
      <c r="F2188" s="197" t="s">
        <v>652</v>
      </c>
      <c r="G2188" s="197" t="s">
        <v>688</v>
      </c>
    </row>
    <row r="2189" spans="1:7" hidden="1">
      <c r="A2189" s="197" t="s">
        <v>1400</v>
      </c>
      <c r="B2189" s="198">
        <v>-32000</v>
      </c>
      <c r="C2189" s="198">
        <v>0</v>
      </c>
      <c r="D2189" s="197" t="s">
        <v>440</v>
      </c>
      <c r="E2189" s="197" t="s">
        <v>638</v>
      </c>
      <c r="F2189" s="197" t="s">
        <v>652</v>
      </c>
      <c r="G2189" s="197" t="s">
        <v>688</v>
      </c>
    </row>
    <row r="2190" spans="1:7" hidden="1">
      <c r="A2190" s="197" t="s">
        <v>1401</v>
      </c>
      <c r="B2190" s="198">
        <v>-15800</v>
      </c>
      <c r="C2190" s="198">
        <v>0</v>
      </c>
      <c r="D2190" s="197" t="s">
        <v>442</v>
      </c>
      <c r="E2190" s="197" t="s">
        <v>638</v>
      </c>
      <c r="F2190" s="197" t="s">
        <v>396</v>
      </c>
      <c r="G2190" s="197" t="s">
        <v>688</v>
      </c>
    </row>
    <row r="2191" spans="1:7" hidden="1">
      <c r="A2191" s="197" t="s">
        <v>1401</v>
      </c>
      <c r="B2191" s="198">
        <v>-79600</v>
      </c>
      <c r="C2191" s="198">
        <v>0</v>
      </c>
      <c r="D2191" s="197" t="s">
        <v>474</v>
      </c>
      <c r="E2191" s="197" t="s">
        <v>638</v>
      </c>
      <c r="F2191" s="197" t="s">
        <v>396</v>
      </c>
      <c r="G2191" s="197" t="s">
        <v>688</v>
      </c>
    </row>
    <row r="2192" spans="1:7" hidden="1">
      <c r="A2192" s="197" t="s">
        <v>1402</v>
      </c>
      <c r="B2192" s="198">
        <v>-29500</v>
      </c>
      <c r="C2192" s="198">
        <v>0</v>
      </c>
      <c r="D2192" s="197" t="s">
        <v>440</v>
      </c>
      <c r="E2192" s="197" t="s">
        <v>638</v>
      </c>
      <c r="F2192" s="197" t="s">
        <v>652</v>
      </c>
      <c r="G2192" s="197" t="s">
        <v>688</v>
      </c>
    </row>
    <row r="2193" spans="1:7" hidden="1">
      <c r="A2193" s="197" t="s">
        <v>1403</v>
      </c>
      <c r="B2193" s="198">
        <v>50150</v>
      </c>
      <c r="C2193" s="198">
        <v>0</v>
      </c>
      <c r="D2193" s="197" t="s">
        <v>440</v>
      </c>
      <c r="E2193" s="197" t="s">
        <v>638</v>
      </c>
      <c r="F2193" s="197" t="s">
        <v>652</v>
      </c>
      <c r="G2193" s="197" t="s">
        <v>688</v>
      </c>
    </row>
    <row r="2194" spans="1:7" hidden="1">
      <c r="A2194" s="197" t="s">
        <v>1404</v>
      </c>
      <c r="B2194" s="198">
        <v>20500</v>
      </c>
      <c r="C2194" s="198">
        <v>0</v>
      </c>
      <c r="D2194" s="197" t="s">
        <v>440</v>
      </c>
      <c r="E2194" s="197" t="s">
        <v>638</v>
      </c>
      <c r="F2194" s="197" t="s">
        <v>652</v>
      </c>
      <c r="G2194" s="197" t="s">
        <v>688</v>
      </c>
    </row>
    <row r="2195" spans="1:7" hidden="1">
      <c r="A2195" s="197" t="s">
        <v>1405</v>
      </c>
      <c r="B2195" s="198">
        <v>3500</v>
      </c>
      <c r="C2195" s="198">
        <v>0</v>
      </c>
      <c r="D2195" s="197" t="s">
        <v>442</v>
      </c>
      <c r="E2195" s="197" t="s">
        <v>638</v>
      </c>
      <c r="F2195" s="197" t="s">
        <v>396</v>
      </c>
      <c r="G2195" s="197" t="s">
        <v>688</v>
      </c>
    </row>
    <row r="2196" spans="1:7" hidden="1">
      <c r="A2196" s="197" t="s">
        <v>1406</v>
      </c>
      <c r="B2196" s="198">
        <v>5000</v>
      </c>
      <c r="C2196" s="198">
        <v>0</v>
      </c>
      <c r="D2196" s="197" t="s">
        <v>442</v>
      </c>
      <c r="E2196" s="197" t="s">
        <v>638</v>
      </c>
      <c r="F2196" s="197" t="s">
        <v>396</v>
      </c>
      <c r="G2196" s="197" t="s">
        <v>688</v>
      </c>
    </row>
    <row r="2197" spans="1:7" hidden="1">
      <c r="A2197" s="197" t="s">
        <v>1407</v>
      </c>
      <c r="B2197" s="198">
        <v>4300</v>
      </c>
      <c r="C2197" s="198">
        <v>0</v>
      </c>
      <c r="D2197" s="197" t="s">
        <v>442</v>
      </c>
      <c r="E2197" s="197" t="s">
        <v>638</v>
      </c>
      <c r="F2197" s="197" t="s">
        <v>396</v>
      </c>
      <c r="G2197" s="197" t="s">
        <v>688</v>
      </c>
    </row>
    <row r="2198" spans="1:7" hidden="1">
      <c r="A2198" s="197" t="s">
        <v>1408</v>
      </c>
      <c r="B2198" s="198">
        <v>24600</v>
      </c>
      <c r="C2198" s="198">
        <v>0</v>
      </c>
      <c r="D2198" s="197" t="s">
        <v>440</v>
      </c>
      <c r="E2198" s="197" t="s">
        <v>638</v>
      </c>
      <c r="F2198" s="197" t="s">
        <v>652</v>
      </c>
      <c r="G2198" s="197" t="s">
        <v>688</v>
      </c>
    </row>
    <row r="2199" spans="1:7" hidden="1">
      <c r="A2199" s="197" t="s">
        <v>1409</v>
      </c>
      <c r="B2199" s="198">
        <v>8900</v>
      </c>
      <c r="C2199" s="198">
        <v>0</v>
      </c>
      <c r="D2199" s="197" t="s">
        <v>442</v>
      </c>
      <c r="E2199" s="197" t="s">
        <v>638</v>
      </c>
      <c r="F2199" s="197" t="s">
        <v>396</v>
      </c>
      <c r="G2199" s="197" t="s">
        <v>688</v>
      </c>
    </row>
    <row r="2200" spans="1:7" hidden="1">
      <c r="A2200" s="197" t="s">
        <v>1410</v>
      </c>
      <c r="B2200" s="198">
        <v>51800</v>
      </c>
      <c r="C2200" s="198">
        <v>0</v>
      </c>
      <c r="D2200" s="197" t="s">
        <v>440</v>
      </c>
      <c r="E2200" s="197" t="s">
        <v>638</v>
      </c>
      <c r="F2200" s="197" t="s">
        <v>652</v>
      </c>
      <c r="G2200" s="197" t="s">
        <v>688</v>
      </c>
    </row>
    <row r="2201" spans="1:7" hidden="1">
      <c r="A2201" s="197" t="s">
        <v>1411</v>
      </c>
      <c r="B2201" s="198">
        <v>-10000</v>
      </c>
      <c r="C2201" s="198">
        <v>0</v>
      </c>
      <c r="D2201" s="197" t="s">
        <v>440</v>
      </c>
      <c r="E2201" s="197" t="s">
        <v>638</v>
      </c>
      <c r="F2201" s="197" t="s">
        <v>652</v>
      </c>
      <c r="G2201" s="197" t="s">
        <v>688</v>
      </c>
    </row>
    <row r="2202" spans="1:7" hidden="1">
      <c r="A2202" s="197" t="s">
        <v>1412</v>
      </c>
      <c r="B2202" s="198">
        <v>29600</v>
      </c>
      <c r="C2202" s="198">
        <v>0</v>
      </c>
      <c r="D2202" s="197" t="s">
        <v>474</v>
      </c>
      <c r="E2202" s="197" t="s">
        <v>638</v>
      </c>
      <c r="F2202" s="197" t="s">
        <v>396</v>
      </c>
      <c r="G2202" s="197" t="s">
        <v>688</v>
      </c>
    </row>
    <row r="2203" spans="1:7" hidden="1">
      <c r="A2203" s="197" t="s">
        <v>1413</v>
      </c>
      <c r="B2203" s="198">
        <v>51000</v>
      </c>
      <c r="C2203" s="198">
        <v>0</v>
      </c>
      <c r="D2203" s="197" t="s">
        <v>440</v>
      </c>
      <c r="E2203" s="197" t="s">
        <v>638</v>
      </c>
      <c r="F2203" s="197" t="s">
        <v>652</v>
      </c>
      <c r="G2203" s="197" t="s">
        <v>688</v>
      </c>
    </row>
    <row r="2204" spans="1:7" hidden="1">
      <c r="A2204" s="197" t="s">
        <v>1414</v>
      </c>
      <c r="B2204" s="198">
        <v>3200</v>
      </c>
      <c r="C2204" s="198">
        <v>0</v>
      </c>
      <c r="D2204" s="197" t="s">
        <v>442</v>
      </c>
      <c r="E2204" s="197" t="s">
        <v>638</v>
      </c>
      <c r="F2204" s="197" t="s">
        <v>396</v>
      </c>
      <c r="G2204" s="197" t="s">
        <v>688</v>
      </c>
    </row>
    <row r="2205" spans="1:7" hidden="1">
      <c r="A2205" s="197" t="s">
        <v>1415</v>
      </c>
      <c r="B2205" s="198">
        <v>3100</v>
      </c>
      <c r="C2205" s="198">
        <v>0</v>
      </c>
      <c r="D2205" s="197" t="s">
        <v>442</v>
      </c>
      <c r="E2205" s="197" t="s">
        <v>638</v>
      </c>
      <c r="F2205" s="197" t="s">
        <v>396</v>
      </c>
      <c r="G2205" s="197" t="s">
        <v>688</v>
      </c>
    </row>
    <row r="2206" spans="1:7" hidden="1">
      <c r="A2206" s="197" t="s">
        <v>1416</v>
      </c>
      <c r="B2206" s="198">
        <v>-12400</v>
      </c>
      <c r="C2206" s="198">
        <v>0</v>
      </c>
      <c r="D2206" s="197" t="s">
        <v>440</v>
      </c>
      <c r="E2206" s="197" t="s">
        <v>638</v>
      </c>
      <c r="F2206" s="197" t="s">
        <v>652</v>
      </c>
      <c r="G2206" s="197" t="s">
        <v>688</v>
      </c>
    </row>
    <row r="2207" spans="1:7" hidden="1">
      <c r="A2207" s="197" t="s">
        <v>1417</v>
      </c>
      <c r="B2207" s="198">
        <v>100000</v>
      </c>
      <c r="C2207" s="198">
        <v>0</v>
      </c>
      <c r="D2207" s="197" t="s">
        <v>440</v>
      </c>
      <c r="E2207" s="197" t="s">
        <v>638</v>
      </c>
      <c r="F2207" s="197" t="s">
        <v>652</v>
      </c>
      <c r="G2207" s="197" t="s">
        <v>688</v>
      </c>
    </row>
    <row r="2208" spans="1:7" hidden="1">
      <c r="A2208" s="197" t="s">
        <v>1418</v>
      </c>
      <c r="B2208" s="198">
        <v>29900</v>
      </c>
      <c r="C2208" s="198">
        <v>0</v>
      </c>
      <c r="D2208" s="197" t="s">
        <v>440</v>
      </c>
      <c r="E2208" s="197" t="s">
        <v>638</v>
      </c>
      <c r="F2208" s="197" t="s">
        <v>652</v>
      </c>
      <c r="G2208" s="197" t="s">
        <v>688</v>
      </c>
    </row>
    <row r="2209" spans="1:7" hidden="1">
      <c r="A2209" s="197" t="s">
        <v>1419</v>
      </c>
      <c r="B2209" s="198">
        <v>47500</v>
      </c>
      <c r="C2209" s="198">
        <v>0</v>
      </c>
      <c r="D2209" s="197" t="s">
        <v>440</v>
      </c>
      <c r="E2209" s="197" t="s">
        <v>638</v>
      </c>
      <c r="F2209" s="197" t="s">
        <v>652</v>
      </c>
      <c r="G2209" s="197" t="s">
        <v>688</v>
      </c>
    </row>
    <row r="2210" spans="1:7" hidden="1">
      <c r="A2210" s="197" t="s">
        <v>1420</v>
      </c>
      <c r="B2210" s="198">
        <v>2200</v>
      </c>
      <c r="C2210" s="198">
        <v>0</v>
      </c>
      <c r="D2210" s="197" t="s">
        <v>442</v>
      </c>
      <c r="E2210" s="197" t="s">
        <v>638</v>
      </c>
      <c r="F2210" s="197" t="s">
        <v>396</v>
      </c>
      <c r="G2210" s="197" t="s">
        <v>688</v>
      </c>
    </row>
    <row r="2211" spans="1:7" hidden="1">
      <c r="A2211" s="197" t="s">
        <v>1421</v>
      </c>
      <c r="B2211" s="198">
        <v>1050</v>
      </c>
      <c r="C2211" s="198">
        <v>0</v>
      </c>
      <c r="D2211" s="197" t="s">
        <v>442</v>
      </c>
      <c r="E2211" s="197" t="s">
        <v>638</v>
      </c>
      <c r="F2211" s="197" t="s">
        <v>396</v>
      </c>
      <c r="G2211" s="197" t="s">
        <v>688</v>
      </c>
    </row>
    <row r="2212" spans="1:7" hidden="1">
      <c r="A2212" s="197" t="s">
        <v>1422</v>
      </c>
      <c r="B2212" s="198">
        <v>3000</v>
      </c>
      <c r="C2212" s="198">
        <v>0</v>
      </c>
      <c r="D2212" s="197" t="s">
        <v>442</v>
      </c>
      <c r="E2212" s="197" t="s">
        <v>638</v>
      </c>
      <c r="F2212" s="197" t="s">
        <v>396</v>
      </c>
      <c r="G2212" s="197" t="s">
        <v>688</v>
      </c>
    </row>
    <row r="2213" spans="1:7" hidden="1">
      <c r="A2213" s="197" t="s">
        <v>1423</v>
      </c>
      <c r="B2213" s="198">
        <v>16100</v>
      </c>
      <c r="C2213" s="198">
        <v>0</v>
      </c>
      <c r="D2213" s="197" t="s">
        <v>440</v>
      </c>
      <c r="E2213" s="197" t="s">
        <v>638</v>
      </c>
      <c r="F2213" s="197" t="s">
        <v>652</v>
      </c>
      <c r="G2213" s="197" t="s">
        <v>688</v>
      </c>
    </row>
    <row r="2214" spans="1:7" hidden="1">
      <c r="A2214" s="197" t="s">
        <v>1424</v>
      </c>
      <c r="B2214" s="198">
        <v>3200</v>
      </c>
      <c r="C2214" s="198">
        <v>0</v>
      </c>
      <c r="D2214" s="197" t="s">
        <v>442</v>
      </c>
      <c r="E2214" s="197" t="s">
        <v>638</v>
      </c>
      <c r="F2214" s="197" t="s">
        <v>396</v>
      </c>
      <c r="G2214" s="197" t="s">
        <v>688</v>
      </c>
    </row>
    <row r="2215" spans="1:7" hidden="1">
      <c r="A2215" s="197" t="s">
        <v>1425</v>
      </c>
      <c r="B2215" s="198">
        <v>2300</v>
      </c>
      <c r="C2215" s="198">
        <v>0</v>
      </c>
      <c r="D2215" s="197" t="s">
        <v>442</v>
      </c>
      <c r="E2215" s="197" t="s">
        <v>638</v>
      </c>
      <c r="F2215" s="197" t="s">
        <v>396</v>
      </c>
      <c r="G2215" s="197" t="s">
        <v>688</v>
      </c>
    </row>
    <row r="2216" spans="1:7" hidden="1">
      <c r="A2216" s="197" t="s">
        <v>1426</v>
      </c>
      <c r="B2216" s="198">
        <v>2500</v>
      </c>
      <c r="C2216" s="198">
        <v>0</v>
      </c>
      <c r="D2216" s="197" t="s">
        <v>442</v>
      </c>
      <c r="E2216" s="197" t="s">
        <v>638</v>
      </c>
      <c r="F2216" s="197" t="s">
        <v>396</v>
      </c>
      <c r="G2216" s="197" t="s">
        <v>688</v>
      </c>
    </row>
    <row r="2217" spans="1:7" hidden="1">
      <c r="A2217" s="197" t="s">
        <v>1427</v>
      </c>
      <c r="B2217" s="198">
        <v>3700</v>
      </c>
      <c r="C2217" s="198">
        <v>0</v>
      </c>
      <c r="D2217" s="197" t="s">
        <v>442</v>
      </c>
      <c r="E2217" s="197" t="s">
        <v>638</v>
      </c>
      <c r="F2217" s="197" t="s">
        <v>396</v>
      </c>
      <c r="G2217" s="197" t="s">
        <v>688</v>
      </c>
    </row>
    <row r="2218" spans="1:7" hidden="1">
      <c r="A2218" s="197" t="s">
        <v>1428</v>
      </c>
      <c r="B2218" s="198">
        <v>25400</v>
      </c>
      <c r="C2218" s="198">
        <v>0</v>
      </c>
      <c r="D2218" s="197" t="s">
        <v>440</v>
      </c>
      <c r="E2218" s="197" t="s">
        <v>638</v>
      </c>
      <c r="F2218" s="197" t="s">
        <v>652</v>
      </c>
      <c r="G2218" s="197" t="s">
        <v>688</v>
      </c>
    </row>
    <row r="2219" spans="1:7" hidden="1">
      <c r="A2219" s="197" t="s">
        <v>1429</v>
      </c>
      <c r="B2219" s="198">
        <v>54600</v>
      </c>
      <c r="C2219" s="198">
        <v>0</v>
      </c>
      <c r="D2219" s="197" t="s">
        <v>440</v>
      </c>
      <c r="E2219" s="197" t="s">
        <v>638</v>
      </c>
      <c r="F2219" s="197" t="s">
        <v>652</v>
      </c>
      <c r="G2219" s="197" t="s">
        <v>688</v>
      </c>
    </row>
    <row r="2220" spans="1:7" hidden="1">
      <c r="A2220" s="197" t="s">
        <v>1430</v>
      </c>
      <c r="B2220" s="198">
        <v>36000</v>
      </c>
      <c r="C2220" s="198">
        <v>0</v>
      </c>
      <c r="D2220" s="197" t="s">
        <v>440</v>
      </c>
      <c r="E2220" s="197" t="s">
        <v>638</v>
      </c>
      <c r="F2220" s="197" t="s">
        <v>652</v>
      </c>
      <c r="G2220" s="197" t="s">
        <v>688</v>
      </c>
    </row>
    <row r="2221" spans="1:7" hidden="1">
      <c r="A2221" s="197" t="s">
        <v>1431</v>
      </c>
      <c r="B2221" s="198">
        <v>126700</v>
      </c>
      <c r="C2221" s="198">
        <v>0</v>
      </c>
      <c r="D2221" s="197" t="s">
        <v>440</v>
      </c>
      <c r="E2221" s="197" t="s">
        <v>638</v>
      </c>
      <c r="F2221" s="197" t="s">
        <v>409</v>
      </c>
      <c r="G2221" s="197" t="s">
        <v>688</v>
      </c>
    </row>
    <row r="2222" spans="1:7" hidden="1">
      <c r="A2222" s="197" t="s">
        <v>1432</v>
      </c>
      <c r="B2222" s="198">
        <v>3600</v>
      </c>
      <c r="C2222" s="198">
        <v>0</v>
      </c>
      <c r="D2222" s="197" t="s">
        <v>440</v>
      </c>
      <c r="E2222" s="197" t="s">
        <v>638</v>
      </c>
      <c r="F2222" s="197" t="s">
        <v>652</v>
      </c>
      <c r="G2222" s="197" t="s">
        <v>688</v>
      </c>
    </row>
    <row r="2223" spans="1:7" hidden="1">
      <c r="A2223" s="197" t="s">
        <v>1433</v>
      </c>
      <c r="B2223" s="198">
        <v>20200</v>
      </c>
      <c r="C2223" s="198">
        <v>0</v>
      </c>
      <c r="D2223" s="197" t="s">
        <v>474</v>
      </c>
      <c r="E2223" s="197" t="s">
        <v>638</v>
      </c>
      <c r="F2223" s="197" t="s">
        <v>396</v>
      </c>
      <c r="G2223" s="197" t="s">
        <v>688</v>
      </c>
    </row>
    <row r="2224" spans="1:7" hidden="1">
      <c r="A2224" s="197" t="s">
        <v>1434</v>
      </c>
      <c r="B2224" s="198">
        <v>-129200</v>
      </c>
      <c r="C2224" s="198">
        <v>0</v>
      </c>
      <c r="D2224" s="197" t="s">
        <v>440</v>
      </c>
      <c r="E2224" s="197" t="s">
        <v>638</v>
      </c>
      <c r="F2224" s="197" t="s">
        <v>652</v>
      </c>
      <c r="G2224" s="197" t="s">
        <v>688</v>
      </c>
    </row>
    <row r="2225" spans="1:7" hidden="1">
      <c r="A2225" s="197" t="s">
        <v>1435</v>
      </c>
      <c r="B2225" s="198">
        <v>-3900</v>
      </c>
      <c r="C2225" s="198">
        <v>0</v>
      </c>
      <c r="D2225" s="197" t="s">
        <v>442</v>
      </c>
      <c r="E2225" s="197" t="s">
        <v>638</v>
      </c>
      <c r="F2225" s="197" t="s">
        <v>396</v>
      </c>
      <c r="G2225" s="197" t="s">
        <v>688</v>
      </c>
    </row>
    <row r="2226" spans="1:7" hidden="1">
      <c r="A2226" s="197" t="s">
        <v>1436</v>
      </c>
      <c r="B2226" s="198">
        <v>-5600</v>
      </c>
      <c r="C2226" s="198">
        <v>0</v>
      </c>
      <c r="D2226" s="197" t="s">
        <v>442</v>
      </c>
      <c r="E2226" s="197" t="s">
        <v>638</v>
      </c>
      <c r="F2226" s="197" t="s">
        <v>396</v>
      </c>
      <c r="G2226" s="197" t="s">
        <v>688</v>
      </c>
    </row>
    <row r="2227" spans="1:7" hidden="1">
      <c r="A2227" s="197" t="s">
        <v>1437</v>
      </c>
      <c r="B2227" s="198">
        <v>35900</v>
      </c>
      <c r="C2227" s="198">
        <v>0</v>
      </c>
      <c r="D2227" s="197" t="s">
        <v>440</v>
      </c>
      <c r="E2227" s="197" t="s">
        <v>638</v>
      </c>
      <c r="F2227" s="197" t="s">
        <v>652</v>
      </c>
      <c r="G2227" s="197" t="s">
        <v>688</v>
      </c>
    </row>
    <row r="2228" spans="1:7" hidden="1">
      <c r="A2228" s="197" t="s">
        <v>1438</v>
      </c>
      <c r="B2228" s="198">
        <v>6500</v>
      </c>
      <c r="C2228" s="198">
        <v>0</v>
      </c>
      <c r="D2228" s="197" t="s">
        <v>440</v>
      </c>
      <c r="E2228" s="197" t="s">
        <v>638</v>
      </c>
      <c r="F2228" s="197" t="s">
        <v>652</v>
      </c>
      <c r="G2228" s="197" t="s">
        <v>688</v>
      </c>
    </row>
    <row r="2229" spans="1:7" hidden="1">
      <c r="A2229" s="197" t="s">
        <v>1439</v>
      </c>
      <c r="B2229" s="198">
        <v>5400</v>
      </c>
      <c r="C2229" s="198">
        <v>0</v>
      </c>
      <c r="D2229" s="197" t="s">
        <v>442</v>
      </c>
      <c r="E2229" s="197" t="s">
        <v>638</v>
      </c>
      <c r="F2229" s="197" t="s">
        <v>396</v>
      </c>
      <c r="G2229" s="197" t="s">
        <v>688</v>
      </c>
    </row>
    <row r="2230" spans="1:7" hidden="1">
      <c r="A2230" s="197" t="s">
        <v>1440</v>
      </c>
      <c r="B2230" s="198">
        <v>2540</v>
      </c>
      <c r="C2230" s="198">
        <v>0</v>
      </c>
      <c r="D2230" s="197" t="s">
        <v>442</v>
      </c>
      <c r="E2230" s="197" t="s">
        <v>638</v>
      </c>
      <c r="F2230" s="197" t="s">
        <v>396</v>
      </c>
      <c r="G2230" s="197" t="s">
        <v>688</v>
      </c>
    </row>
    <row r="2231" spans="1:7" hidden="1">
      <c r="A2231" s="197" t="s">
        <v>1441</v>
      </c>
      <c r="B2231" s="198">
        <v>2000</v>
      </c>
      <c r="C2231" s="198">
        <v>0</v>
      </c>
      <c r="D2231" s="197" t="s">
        <v>442</v>
      </c>
      <c r="E2231" s="197" t="s">
        <v>638</v>
      </c>
      <c r="F2231" s="197" t="s">
        <v>396</v>
      </c>
      <c r="G2231" s="197" t="s">
        <v>688</v>
      </c>
    </row>
    <row r="2232" spans="1:7" hidden="1">
      <c r="A2232" s="197" t="s">
        <v>1442</v>
      </c>
      <c r="B2232" s="198">
        <v>3272</v>
      </c>
      <c r="C2232" s="198">
        <v>0</v>
      </c>
      <c r="D2232" s="197" t="s">
        <v>440</v>
      </c>
      <c r="E2232" s="197" t="s">
        <v>638</v>
      </c>
      <c r="F2232" s="197" t="s">
        <v>652</v>
      </c>
      <c r="G2232" s="197" t="s">
        <v>688</v>
      </c>
    </row>
    <row r="2233" spans="1:7" hidden="1">
      <c r="A2233" s="197" t="s">
        <v>1443</v>
      </c>
      <c r="B2233" s="198">
        <v>20000</v>
      </c>
      <c r="C2233" s="198">
        <v>0</v>
      </c>
      <c r="D2233" s="197" t="s">
        <v>440</v>
      </c>
      <c r="E2233" s="197" t="s">
        <v>638</v>
      </c>
      <c r="F2233" s="197" t="s">
        <v>652</v>
      </c>
      <c r="G2233" s="197" t="s">
        <v>688</v>
      </c>
    </row>
    <row r="2234" spans="1:7" hidden="1">
      <c r="A2234" s="197" t="s">
        <v>1444</v>
      </c>
      <c r="B2234" s="198">
        <v>17400</v>
      </c>
      <c r="C2234" s="198">
        <v>0</v>
      </c>
      <c r="D2234" s="197" t="s">
        <v>440</v>
      </c>
      <c r="E2234" s="197" t="s">
        <v>638</v>
      </c>
      <c r="F2234" s="197" t="s">
        <v>652</v>
      </c>
      <c r="G2234" s="197" t="s">
        <v>688</v>
      </c>
    </row>
    <row r="2235" spans="1:7" hidden="1">
      <c r="A2235" s="197" t="s">
        <v>1445</v>
      </c>
      <c r="B2235" s="198">
        <v>1700</v>
      </c>
      <c r="C2235" s="198">
        <v>0</v>
      </c>
      <c r="D2235" s="197" t="s">
        <v>442</v>
      </c>
      <c r="E2235" s="197" t="s">
        <v>638</v>
      </c>
      <c r="F2235" s="197" t="s">
        <v>396</v>
      </c>
      <c r="G2235" s="197" t="s">
        <v>688</v>
      </c>
    </row>
    <row r="2236" spans="1:7" hidden="1">
      <c r="A2236" s="197" t="s">
        <v>1446</v>
      </c>
      <c r="B2236" s="198">
        <v>-28000</v>
      </c>
      <c r="C2236" s="198">
        <v>0</v>
      </c>
      <c r="D2236" s="197" t="s">
        <v>440</v>
      </c>
      <c r="E2236" s="197" t="s">
        <v>638</v>
      </c>
      <c r="F2236" s="197" t="s">
        <v>409</v>
      </c>
      <c r="G2236" s="197" t="s">
        <v>688</v>
      </c>
    </row>
    <row r="2237" spans="1:7" hidden="1">
      <c r="A2237" s="197" t="s">
        <v>1447</v>
      </c>
      <c r="B2237" s="198">
        <v>3300</v>
      </c>
      <c r="C2237" s="198">
        <v>0</v>
      </c>
      <c r="D2237" s="197" t="s">
        <v>442</v>
      </c>
      <c r="E2237" s="197" t="s">
        <v>638</v>
      </c>
      <c r="F2237" s="197" t="s">
        <v>396</v>
      </c>
      <c r="G2237" s="197" t="s">
        <v>688</v>
      </c>
    </row>
    <row r="2238" spans="1:7" hidden="1">
      <c r="A2238" s="197" t="s">
        <v>1448</v>
      </c>
      <c r="B2238" s="198">
        <v>52800</v>
      </c>
      <c r="C2238" s="198">
        <v>0</v>
      </c>
      <c r="D2238" s="197" t="s">
        <v>440</v>
      </c>
      <c r="E2238" s="197" t="s">
        <v>638</v>
      </c>
      <c r="F2238" s="197" t="s">
        <v>652</v>
      </c>
      <c r="G2238" s="197" t="s">
        <v>688</v>
      </c>
    </row>
    <row r="2239" spans="1:7" hidden="1">
      <c r="A2239" s="197" t="s">
        <v>1449</v>
      </c>
      <c r="B2239" s="198">
        <v>2100</v>
      </c>
      <c r="C2239" s="198">
        <v>0</v>
      </c>
      <c r="D2239" s="197" t="s">
        <v>442</v>
      </c>
      <c r="E2239" s="197" t="s">
        <v>638</v>
      </c>
      <c r="F2239" s="197" t="s">
        <v>396</v>
      </c>
      <c r="G2239" s="197" t="s">
        <v>688</v>
      </c>
    </row>
    <row r="2240" spans="1:7" hidden="1">
      <c r="A2240" s="197" t="s">
        <v>1450</v>
      </c>
      <c r="B2240" s="198">
        <v>31500</v>
      </c>
      <c r="C2240" s="198">
        <v>0</v>
      </c>
      <c r="D2240" s="197" t="s">
        <v>440</v>
      </c>
      <c r="E2240" s="197" t="s">
        <v>638</v>
      </c>
      <c r="F2240" s="197" t="s">
        <v>652</v>
      </c>
      <c r="G2240" s="197" t="s">
        <v>688</v>
      </c>
    </row>
    <row r="2241" spans="1:7" hidden="1">
      <c r="A2241" s="197" t="s">
        <v>1451</v>
      </c>
      <c r="B2241" s="198">
        <v>21300</v>
      </c>
      <c r="C2241" s="198">
        <v>0</v>
      </c>
      <c r="D2241" s="197" t="s">
        <v>440</v>
      </c>
      <c r="E2241" s="197" t="s">
        <v>638</v>
      </c>
      <c r="F2241" s="197" t="s">
        <v>652</v>
      </c>
      <c r="G2241" s="197" t="s">
        <v>688</v>
      </c>
    </row>
    <row r="2242" spans="1:7" hidden="1">
      <c r="A2242" s="197" t="s">
        <v>1452</v>
      </c>
      <c r="B2242" s="198">
        <v>8300</v>
      </c>
      <c r="C2242" s="198">
        <v>0</v>
      </c>
      <c r="D2242" s="197" t="s">
        <v>440</v>
      </c>
      <c r="E2242" s="197" t="s">
        <v>638</v>
      </c>
      <c r="F2242" s="197" t="s">
        <v>652</v>
      </c>
      <c r="G2242" s="197" t="s">
        <v>688</v>
      </c>
    </row>
    <row r="2243" spans="1:7" hidden="1">
      <c r="A2243" s="197" t="s">
        <v>1453</v>
      </c>
      <c r="B2243" s="198">
        <v>19900</v>
      </c>
      <c r="C2243" s="198">
        <v>0</v>
      </c>
      <c r="D2243" s="197" t="s">
        <v>440</v>
      </c>
      <c r="E2243" s="197" t="s">
        <v>638</v>
      </c>
      <c r="F2243" s="197" t="s">
        <v>652</v>
      </c>
      <c r="G2243" s="197" t="s">
        <v>688</v>
      </c>
    </row>
    <row r="2244" spans="1:7" hidden="1">
      <c r="A2244" s="197" t="s">
        <v>1454</v>
      </c>
      <c r="B2244" s="198">
        <v>25600</v>
      </c>
      <c r="C2244" s="198">
        <v>0</v>
      </c>
      <c r="D2244" s="197" t="s">
        <v>440</v>
      </c>
      <c r="E2244" s="197" t="s">
        <v>638</v>
      </c>
      <c r="F2244" s="197" t="s">
        <v>652</v>
      </c>
      <c r="G2244" s="197" t="s">
        <v>688</v>
      </c>
    </row>
    <row r="2245" spans="1:7" hidden="1">
      <c r="A2245" s="197" t="s">
        <v>1455</v>
      </c>
      <c r="B2245" s="198">
        <v>7700</v>
      </c>
      <c r="C2245" s="198">
        <v>0</v>
      </c>
      <c r="D2245" s="197" t="s">
        <v>440</v>
      </c>
      <c r="E2245" s="197" t="s">
        <v>638</v>
      </c>
      <c r="F2245" s="197" t="s">
        <v>652</v>
      </c>
      <c r="G2245" s="197" t="s">
        <v>688</v>
      </c>
    </row>
    <row r="2246" spans="1:7" hidden="1">
      <c r="A2246" s="197" t="s">
        <v>1456</v>
      </c>
      <c r="B2246" s="198">
        <v>4000</v>
      </c>
      <c r="C2246" s="198">
        <v>0</v>
      </c>
      <c r="D2246" s="197" t="s">
        <v>440</v>
      </c>
      <c r="E2246" s="197" t="s">
        <v>638</v>
      </c>
      <c r="F2246" s="197" t="s">
        <v>652</v>
      </c>
      <c r="G2246" s="197" t="s">
        <v>688</v>
      </c>
    </row>
    <row r="2247" spans="1:7" hidden="1">
      <c r="A2247" s="197" t="s">
        <v>1457</v>
      </c>
      <c r="B2247" s="198">
        <v>10700</v>
      </c>
      <c r="C2247" s="198">
        <v>0</v>
      </c>
      <c r="D2247" s="197" t="s">
        <v>440</v>
      </c>
      <c r="E2247" s="197" t="s">
        <v>638</v>
      </c>
      <c r="F2247" s="197" t="s">
        <v>652</v>
      </c>
      <c r="G2247" s="197" t="s">
        <v>688</v>
      </c>
    </row>
    <row r="2248" spans="1:7" hidden="1">
      <c r="A2248" s="197" t="s">
        <v>1458</v>
      </c>
      <c r="B2248" s="198">
        <v>11900</v>
      </c>
      <c r="C2248" s="198">
        <v>0</v>
      </c>
      <c r="D2248" s="197" t="s">
        <v>442</v>
      </c>
      <c r="E2248" s="197" t="s">
        <v>638</v>
      </c>
      <c r="F2248" s="197" t="s">
        <v>396</v>
      </c>
      <c r="G2248" s="197" t="s">
        <v>688</v>
      </c>
    </row>
    <row r="2249" spans="1:7" hidden="1">
      <c r="A2249" s="197" t="s">
        <v>1459</v>
      </c>
      <c r="B2249" s="198">
        <v>38200</v>
      </c>
      <c r="C2249" s="198">
        <v>0</v>
      </c>
      <c r="D2249" s="197" t="s">
        <v>440</v>
      </c>
      <c r="E2249" s="197" t="s">
        <v>638</v>
      </c>
      <c r="F2249" s="197" t="s">
        <v>652</v>
      </c>
      <c r="G2249" s="197" t="s">
        <v>688</v>
      </c>
    </row>
    <row r="2250" spans="1:7" hidden="1">
      <c r="A2250" s="197" t="s">
        <v>1460</v>
      </c>
      <c r="B2250" s="198">
        <v>31000</v>
      </c>
      <c r="C2250" s="198">
        <v>0</v>
      </c>
      <c r="D2250" s="197" t="s">
        <v>440</v>
      </c>
      <c r="E2250" s="197" t="s">
        <v>638</v>
      </c>
      <c r="F2250" s="197" t="s">
        <v>652</v>
      </c>
      <c r="G2250" s="197" t="s">
        <v>688</v>
      </c>
    </row>
    <row r="2251" spans="1:7" hidden="1">
      <c r="A2251" s="197" t="s">
        <v>1461</v>
      </c>
      <c r="B2251" s="198">
        <v>5620</v>
      </c>
      <c r="C2251" s="198">
        <v>0</v>
      </c>
      <c r="D2251" s="197" t="s">
        <v>440</v>
      </c>
      <c r="E2251" s="197" t="s">
        <v>638</v>
      </c>
      <c r="F2251" s="197" t="s">
        <v>652</v>
      </c>
      <c r="G2251" s="197" t="s">
        <v>688</v>
      </c>
    </row>
    <row r="2252" spans="1:7" hidden="1">
      <c r="A2252" s="197" t="s">
        <v>1462</v>
      </c>
      <c r="B2252" s="198">
        <v>7300</v>
      </c>
      <c r="C2252" s="198">
        <v>0</v>
      </c>
      <c r="D2252" s="197" t="s">
        <v>440</v>
      </c>
      <c r="E2252" s="197" t="s">
        <v>638</v>
      </c>
      <c r="F2252" s="197" t="s">
        <v>652</v>
      </c>
      <c r="G2252" s="197" t="s">
        <v>688</v>
      </c>
    </row>
    <row r="2253" spans="1:7" hidden="1">
      <c r="A2253" s="197" t="s">
        <v>1463</v>
      </c>
      <c r="B2253" s="198">
        <v>5800</v>
      </c>
      <c r="C2253" s="198">
        <v>0</v>
      </c>
      <c r="D2253" s="197" t="s">
        <v>442</v>
      </c>
      <c r="E2253" s="197" t="s">
        <v>638</v>
      </c>
      <c r="F2253" s="197" t="s">
        <v>396</v>
      </c>
      <c r="G2253" s="197" t="s">
        <v>688</v>
      </c>
    </row>
    <row r="2254" spans="1:7" hidden="1">
      <c r="A2254" s="197" t="s">
        <v>1464</v>
      </c>
      <c r="B2254" s="198">
        <v>5700</v>
      </c>
      <c r="C2254" s="198">
        <v>0</v>
      </c>
      <c r="D2254" s="197" t="s">
        <v>442</v>
      </c>
      <c r="E2254" s="197" t="s">
        <v>638</v>
      </c>
      <c r="F2254" s="197" t="s">
        <v>396</v>
      </c>
      <c r="G2254" s="197" t="s">
        <v>688</v>
      </c>
    </row>
    <row r="2255" spans="1:7" hidden="1">
      <c r="A2255" s="197" t="s">
        <v>1465</v>
      </c>
      <c r="B2255" s="198">
        <v>3400</v>
      </c>
      <c r="C2255" s="198">
        <v>0</v>
      </c>
      <c r="D2255" s="197" t="s">
        <v>442</v>
      </c>
      <c r="E2255" s="197" t="s">
        <v>638</v>
      </c>
      <c r="F2255" s="197" t="s">
        <v>396</v>
      </c>
      <c r="G2255" s="197" t="s">
        <v>688</v>
      </c>
    </row>
    <row r="2256" spans="1:7" hidden="1">
      <c r="A2256" s="197" t="s">
        <v>1466</v>
      </c>
      <c r="B2256" s="198">
        <v>2200</v>
      </c>
      <c r="C2256" s="198">
        <v>0</v>
      </c>
      <c r="D2256" s="197" t="s">
        <v>442</v>
      </c>
      <c r="E2256" s="197" t="s">
        <v>638</v>
      </c>
      <c r="F2256" s="197" t="s">
        <v>396</v>
      </c>
      <c r="G2256" s="197" t="s">
        <v>688</v>
      </c>
    </row>
    <row r="2257" spans="1:7" hidden="1">
      <c r="A2257" s="197" t="s">
        <v>1467</v>
      </c>
      <c r="B2257" s="198">
        <v>32700</v>
      </c>
      <c r="C2257" s="198">
        <v>0</v>
      </c>
      <c r="D2257" s="197" t="s">
        <v>440</v>
      </c>
      <c r="E2257" s="197" t="s">
        <v>638</v>
      </c>
      <c r="F2257" s="197" t="s">
        <v>652</v>
      </c>
      <c r="G2257" s="197" t="s">
        <v>688</v>
      </c>
    </row>
    <row r="2258" spans="1:7" hidden="1">
      <c r="A2258" s="197" t="s">
        <v>1468</v>
      </c>
      <c r="B2258" s="198">
        <v>17100</v>
      </c>
      <c r="C2258" s="198">
        <v>0</v>
      </c>
      <c r="D2258" s="197" t="s">
        <v>440</v>
      </c>
      <c r="E2258" s="197" t="s">
        <v>638</v>
      </c>
      <c r="F2258" s="197" t="s">
        <v>652</v>
      </c>
      <c r="G2258" s="197" t="s">
        <v>688</v>
      </c>
    </row>
    <row r="2259" spans="1:7" hidden="1">
      <c r="A2259" s="197" t="s">
        <v>1469</v>
      </c>
      <c r="B2259" s="198">
        <v>9600</v>
      </c>
      <c r="C2259" s="198">
        <v>0</v>
      </c>
      <c r="D2259" s="197" t="s">
        <v>440</v>
      </c>
      <c r="E2259" s="197" t="s">
        <v>638</v>
      </c>
      <c r="F2259" s="197" t="s">
        <v>652</v>
      </c>
      <c r="G2259" s="197" t="s">
        <v>688</v>
      </c>
    </row>
    <row r="2260" spans="1:7" hidden="1">
      <c r="A2260" s="197" t="s">
        <v>1470</v>
      </c>
      <c r="B2260" s="198">
        <v>41500</v>
      </c>
      <c r="C2260" s="198">
        <v>0</v>
      </c>
      <c r="D2260" s="197" t="s">
        <v>440</v>
      </c>
      <c r="E2260" s="197" t="s">
        <v>638</v>
      </c>
      <c r="F2260" s="197" t="s">
        <v>652</v>
      </c>
      <c r="G2260" s="197" t="s">
        <v>688</v>
      </c>
    </row>
    <row r="2261" spans="1:7" hidden="1">
      <c r="A2261" s="197" t="s">
        <v>1471</v>
      </c>
      <c r="B2261" s="198">
        <v>3600</v>
      </c>
      <c r="C2261" s="198">
        <v>0</v>
      </c>
      <c r="D2261" s="197" t="s">
        <v>442</v>
      </c>
      <c r="E2261" s="197" t="s">
        <v>638</v>
      </c>
      <c r="F2261" s="197" t="s">
        <v>396</v>
      </c>
      <c r="G2261" s="197" t="s">
        <v>688</v>
      </c>
    </row>
    <row r="2262" spans="1:7" hidden="1">
      <c r="A2262" s="197" t="s">
        <v>1472</v>
      </c>
      <c r="B2262" s="198">
        <v>12300</v>
      </c>
      <c r="C2262" s="198">
        <v>0</v>
      </c>
      <c r="D2262" s="197" t="s">
        <v>440</v>
      </c>
      <c r="E2262" s="197" t="s">
        <v>638</v>
      </c>
      <c r="F2262" s="197" t="s">
        <v>652</v>
      </c>
      <c r="G2262" s="197" t="s">
        <v>688</v>
      </c>
    </row>
    <row r="2263" spans="1:7" hidden="1">
      <c r="A2263" s="197" t="s">
        <v>1473</v>
      </c>
      <c r="B2263" s="198">
        <v>1100</v>
      </c>
      <c r="C2263" s="198">
        <v>0</v>
      </c>
      <c r="D2263" s="197" t="s">
        <v>442</v>
      </c>
      <c r="E2263" s="197" t="s">
        <v>638</v>
      </c>
      <c r="F2263" s="197" t="s">
        <v>396</v>
      </c>
      <c r="G2263" s="197" t="s">
        <v>688</v>
      </c>
    </row>
    <row r="2264" spans="1:7" hidden="1">
      <c r="A2264" s="197" t="s">
        <v>1474</v>
      </c>
      <c r="B2264" s="198">
        <v>1000</v>
      </c>
      <c r="C2264" s="198">
        <v>0</v>
      </c>
      <c r="D2264" s="197" t="s">
        <v>442</v>
      </c>
      <c r="E2264" s="197" t="s">
        <v>638</v>
      </c>
      <c r="F2264" s="197" t="s">
        <v>396</v>
      </c>
      <c r="G2264" s="197" t="s">
        <v>688</v>
      </c>
    </row>
    <row r="2265" spans="1:7" hidden="1">
      <c r="A2265" s="197" t="s">
        <v>1475</v>
      </c>
      <c r="B2265" s="198">
        <v>4900</v>
      </c>
      <c r="C2265" s="198">
        <v>0</v>
      </c>
      <c r="D2265" s="197" t="s">
        <v>440</v>
      </c>
      <c r="E2265" s="197" t="s">
        <v>638</v>
      </c>
      <c r="F2265" s="197" t="s">
        <v>652</v>
      </c>
      <c r="G2265" s="197" t="s">
        <v>688</v>
      </c>
    </row>
    <row r="2266" spans="1:7" hidden="1">
      <c r="A2266" s="197" t="s">
        <v>1476</v>
      </c>
      <c r="B2266" s="198">
        <v>700</v>
      </c>
      <c r="C2266" s="198">
        <v>0</v>
      </c>
      <c r="D2266" s="197" t="s">
        <v>442</v>
      </c>
      <c r="E2266" s="197" t="s">
        <v>638</v>
      </c>
      <c r="F2266" s="197" t="s">
        <v>396</v>
      </c>
      <c r="G2266" s="197" t="s">
        <v>688</v>
      </c>
    </row>
    <row r="2267" spans="1:7" hidden="1">
      <c r="A2267" s="197" t="s">
        <v>1477</v>
      </c>
      <c r="B2267" s="198">
        <v>1000</v>
      </c>
      <c r="C2267" s="198">
        <v>0</v>
      </c>
      <c r="D2267" s="197" t="s">
        <v>442</v>
      </c>
      <c r="E2267" s="197" t="s">
        <v>638</v>
      </c>
      <c r="F2267" s="197" t="s">
        <v>396</v>
      </c>
      <c r="G2267" s="197" t="s">
        <v>688</v>
      </c>
    </row>
    <row r="2268" spans="1:7" hidden="1">
      <c r="A2268" s="197" t="s">
        <v>1478</v>
      </c>
      <c r="B2268" s="198">
        <v>700</v>
      </c>
      <c r="C2268" s="198">
        <v>0</v>
      </c>
      <c r="D2268" s="197" t="s">
        <v>442</v>
      </c>
      <c r="E2268" s="197" t="s">
        <v>638</v>
      </c>
      <c r="F2268" s="197" t="s">
        <v>396</v>
      </c>
      <c r="G2268" s="197" t="s">
        <v>688</v>
      </c>
    </row>
    <row r="2269" spans="1:7" hidden="1">
      <c r="A2269" s="197" t="s">
        <v>1479</v>
      </c>
      <c r="B2269" s="198">
        <v>1100</v>
      </c>
      <c r="C2269" s="198">
        <v>0</v>
      </c>
      <c r="D2269" s="197" t="s">
        <v>442</v>
      </c>
      <c r="E2269" s="197" t="s">
        <v>638</v>
      </c>
      <c r="F2269" s="197" t="s">
        <v>396</v>
      </c>
      <c r="G2269" s="197" t="s">
        <v>688</v>
      </c>
    </row>
    <row r="2270" spans="1:7" hidden="1">
      <c r="A2270" s="197" t="s">
        <v>1480</v>
      </c>
      <c r="B2270" s="198">
        <v>2300</v>
      </c>
      <c r="C2270" s="198">
        <v>0</v>
      </c>
      <c r="D2270" s="197" t="s">
        <v>440</v>
      </c>
      <c r="E2270" s="197" t="s">
        <v>638</v>
      </c>
      <c r="F2270" s="197" t="s">
        <v>652</v>
      </c>
      <c r="G2270" s="197" t="s">
        <v>688</v>
      </c>
    </row>
    <row r="2271" spans="1:7" hidden="1">
      <c r="A2271" s="197" t="s">
        <v>1481</v>
      </c>
      <c r="B2271" s="198">
        <v>13200</v>
      </c>
      <c r="C2271" s="198">
        <v>0</v>
      </c>
      <c r="D2271" s="197" t="s">
        <v>440</v>
      </c>
      <c r="E2271" s="197" t="s">
        <v>638</v>
      </c>
      <c r="F2271" s="197" t="s">
        <v>652</v>
      </c>
      <c r="G2271" s="197" t="s">
        <v>688</v>
      </c>
    </row>
    <row r="2272" spans="1:7" hidden="1">
      <c r="A2272" s="197" t="s">
        <v>1482</v>
      </c>
      <c r="B2272" s="198">
        <v>1000</v>
      </c>
      <c r="C2272" s="198">
        <v>0</v>
      </c>
      <c r="D2272" s="197" t="s">
        <v>442</v>
      </c>
      <c r="E2272" s="197" t="s">
        <v>638</v>
      </c>
      <c r="F2272" s="197" t="s">
        <v>396</v>
      </c>
      <c r="G2272" s="197" t="s">
        <v>688</v>
      </c>
    </row>
    <row r="2273" spans="1:7" hidden="1">
      <c r="A2273" s="197" t="s">
        <v>1483</v>
      </c>
      <c r="B2273" s="198">
        <v>7200</v>
      </c>
      <c r="C2273" s="198">
        <v>0</v>
      </c>
      <c r="D2273" s="197" t="s">
        <v>440</v>
      </c>
      <c r="E2273" s="197" t="s">
        <v>638</v>
      </c>
      <c r="F2273" s="197" t="s">
        <v>652</v>
      </c>
      <c r="G2273" s="197" t="s">
        <v>688</v>
      </c>
    </row>
    <row r="2274" spans="1:7" hidden="1">
      <c r="A2274" s="197" t="s">
        <v>1484</v>
      </c>
      <c r="B2274" s="198">
        <v>10300</v>
      </c>
      <c r="C2274" s="198">
        <v>0</v>
      </c>
      <c r="D2274" s="197" t="s">
        <v>440</v>
      </c>
      <c r="E2274" s="197" t="s">
        <v>638</v>
      </c>
      <c r="F2274" s="197" t="s">
        <v>652</v>
      </c>
      <c r="G2274" s="197" t="s">
        <v>688</v>
      </c>
    </row>
    <row r="2275" spans="1:7" hidden="1">
      <c r="A2275" s="197" t="s">
        <v>1485</v>
      </c>
      <c r="B2275" s="198">
        <v>5200</v>
      </c>
      <c r="C2275" s="198">
        <v>0</v>
      </c>
      <c r="D2275" s="197" t="s">
        <v>440</v>
      </c>
      <c r="E2275" s="197" t="s">
        <v>638</v>
      </c>
      <c r="F2275" s="197" t="s">
        <v>652</v>
      </c>
      <c r="G2275" s="197" t="s">
        <v>688</v>
      </c>
    </row>
    <row r="2276" spans="1:7" hidden="1">
      <c r="A2276" s="197" t="s">
        <v>1486</v>
      </c>
      <c r="B2276" s="198">
        <v>-1100</v>
      </c>
      <c r="C2276" s="198">
        <v>0</v>
      </c>
      <c r="D2276" s="197" t="s">
        <v>440</v>
      </c>
      <c r="E2276" s="197" t="s">
        <v>638</v>
      </c>
      <c r="F2276" s="197" t="s">
        <v>409</v>
      </c>
      <c r="G2276" s="197" t="s">
        <v>688</v>
      </c>
    </row>
    <row r="2277" spans="1:7" hidden="1">
      <c r="A2277" s="197" t="s">
        <v>1487</v>
      </c>
      <c r="B2277" s="198">
        <v>1700</v>
      </c>
      <c r="C2277" s="198">
        <v>0</v>
      </c>
      <c r="D2277" s="197" t="s">
        <v>440</v>
      </c>
      <c r="E2277" s="197" t="s">
        <v>638</v>
      </c>
      <c r="F2277" s="197" t="s">
        <v>652</v>
      </c>
      <c r="G2277" s="197" t="s">
        <v>688</v>
      </c>
    </row>
    <row r="2278" spans="1:7" hidden="1">
      <c r="A2278" s="197" t="s">
        <v>1488</v>
      </c>
      <c r="B2278" s="198">
        <v>32200</v>
      </c>
      <c r="C2278" s="198">
        <v>0</v>
      </c>
      <c r="D2278" s="197" t="s">
        <v>440</v>
      </c>
      <c r="E2278" s="197" t="s">
        <v>638</v>
      </c>
      <c r="F2278" s="197" t="s">
        <v>652</v>
      </c>
      <c r="G2278" s="197" t="s">
        <v>688</v>
      </c>
    </row>
    <row r="2279" spans="1:7" hidden="1">
      <c r="A2279" s="197" t="s">
        <v>1489</v>
      </c>
      <c r="B2279" s="198">
        <v>14600</v>
      </c>
      <c r="C2279" s="198">
        <v>0</v>
      </c>
      <c r="D2279" s="197" t="s">
        <v>440</v>
      </c>
      <c r="E2279" s="197" t="s">
        <v>638</v>
      </c>
      <c r="F2279" s="197" t="s">
        <v>652</v>
      </c>
      <c r="G2279" s="197" t="s">
        <v>688</v>
      </c>
    </row>
    <row r="2280" spans="1:7" hidden="1">
      <c r="A2280" s="197" t="s">
        <v>1490</v>
      </c>
      <c r="B2280" s="198">
        <v>5600</v>
      </c>
      <c r="C2280" s="198">
        <v>0</v>
      </c>
      <c r="D2280" s="197" t="s">
        <v>440</v>
      </c>
      <c r="E2280" s="197" t="s">
        <v>638</v>
      </c>
      <c r="F2280" s="197" t="s">
        <v>652</v>
      </c>
      <c r="G2280" s="197" t="s">
        <v>688</v>
      </c>
    </row>
    <row r="2281" spans="1:7" hidden="1">
      <c r="A2281" s="197" t="s">
        <v>1491</v>
      </c>
      <c r="B2281" s="198">
        <v>1900</v>
      </c>
      <c r="C2281" s="198">
        <v>0</v>
      </c>
      <c r="D2281" s="197" t="s">
        <v>442</v>
      </c>
      <c r="E2281" s="197" t="s">
        <v>638</v>
      </c>
      <c r="F2281" s="197" t="s">
        <v>396</v>
      </c>
      <c r="G2281" s="197" t="s">
        <v>688</v>
      </c>
    </row>
    <row r="2282" spans="1:7" hidden="1">
      <c r="A2282" s="197" t="s">
        <v>1492</v>
      </c>
      <c r="B2282" s="198">
        <v>700</v>
      </c>
      <c r="C2282" s="198">
        <v>0</v>
      </c>
      <c r="D2282" s="197" t="s">
        <v>442</v>
      </c>
      <c r="E2282" s="197" t="s">
        <v>638</v>
      </c>
      <c r="F2282" s="197" t="s">
        <v>396</v>
      </c>
      <c r="G2282" s="197" t="s">
        <v>688</v>
      </c>
    </row>
    <row r="2283" spans="1:7" hidden="1">
      <c r="A2283" s="197" t="s">
        <v>1493</v>
      </c>
      <c r="B2283" s="198">
        <v>800</v>
      </c>
      <c r="C2283" s="198">
        <v>0</v>
      </c>
      <c r="D2283" s="197" t="s">
        <v>442</v>
      </c>
      <c r="E2283" s="197" t="s">
        <v>638</v>
      </c>
      <c r="F2283" s="197" t="s">
        <v>396</v>
      </c>
      <c r="G2283" s="197" t="s">
        <v>688</v>
      </c>
    </row>
    <row r="2284" spans="1:7" hidden="1">
      <c r="A2284" s="197" t="s">
        <v>1494</v>
      </c>
      <c r="B2284" s="198">
        <v>800</v>
      </c>
      <c r="C2284" s="198">
        <v>0</v>
      </c>
      <c r="D2284" s="197" t="s">
        <v>442</v>
      </c>
      <c r="E2284" s="197" t="s">
        <v>638</v>
      </c>
      <c r="F2284" s="197" t="s">
        <v>396</v>
      </c>
      <c r="G2284" s="197" t="s">
        <v>688</v>
      </c>
    </row>
    <row r="2285" spans="1:7" hidden="1">
      <c r="A2285" s="197" t="s">
        <v>1495</v>
      </c>
      <c r="B2285" s="198">
        <v>21500</v>
      </c>
      <c r="C2285" s="198">
        <v>0</v>
      </c>
      <c r="D2285" s="197" t="s">
        <v>440</v>
      </c>
      <c r="E2285" s="197" t="s">
        <v>638</v>
      </c>
      <c r="F2285" s="197" t="s">
        <v>652</v>
      </c>
      <c r="G2285" s="197" t="s">
        <v>688</v>
      </c>
    </row>
    <row r="2286" spans="1:7" hidden="1">
      <c r="A2286" s="197" t="s">
        <v>1496</v>
      </c>
      <c r="B2286" s="198">
        <v>600</v>
      </c>
      <c r="C2286" s="198">
        <v>0</v>
      </c>
      <c r="D2286" s="197" t="s">
        <v>442</v>
      </c>
      <c r="E2286" s="197" t="s">
        <v>638</v>
      </c>
      <c r="F2286" s="197" t="s">
        <v>396</v>
      </c>
      <c r="G2286" s="197" t="s">
        <v>688</v>
      </c>
    </row>
    <row r="2287" spans="1:7" hidden="1">
      <c r="A2287" s="197" t="s">
        <v>1497</v>
      </c>
      <c r="B2287" s="198">
        <v>1000</v>
      </c>
      <c r="C2287" s="198">
        <v>0</v>
      </c>
      <c r="D2287" s="197" t="s">
        <v>442</v>
      </c>
      <c r="E2287" s="197" t="s">
        <v>638</v>
      </c>
      <c r="F2287" s="197" t="s">
        <v>396</v>
      </c>
      <c r="G2287" s="197" t="s">
        <v>688</v>
      </c>
    </row>
    <row r="2288" spans="1:7" hidden="1">
      <c r="A2288" s="197" t="s">
        <v>1498</v>
      </c>
      <c r="B2288" s="198">
        <v>4500</v>
      </c>
      <c r="C2288" s="198">
        <v>0</v>
      </c>
      <c r="D2288" s="197" t="s">
        <v>440</v>
      </c>
      <c r="E2288" s="197" t="s">
        <v>638</v>
      </c>
      <c r="F2288" s="197" t="s">
        <v>652</v>
      </c>
      <c r="G2288" s="197" t="s">
        <v>688</v>
      </c>
    </row>
    <row r="2289" spans="1:7" hidden="1">
      <c r="A2289" s="197" t="s">
        <v>1499</v>
      </c>
      <c r="B2289" s="198">
        <v>-123400</v>
      </c>
      <c r="C2289" s="198">
        <v>0</v>
      </c>
      <c r="D2289" s="197" t="s">
        <v>440</v>
      </c>
      <c r="E2289" s="197" t="s">
        <v>638</v>
      </c>
      <c r="F2289" s="197" t="s">
        <v>652</v>
      </c>
      <c r="G2289" s="197" t="s">
        <v>688</v>
      </c>
    </row>
    <row r="2290" spans="1:7" hidden="1">
      <c r="A2290" s="197" t="s">
        <v>1500</v>
      </c>
      <c r="B2290" s="198">
        <v>-39300</v>
      </c>
      <c r="C2290" s="198">
        <v>0</v>
      </c>
      <c r="D2290" s="197" t="s">
        <v>442</v>
      </c>
      <c r="E2290" s="197" t="s">
        <v>638</v>
      </c>
      <c r="F2290" s="197" t="s">
        <v>396</v>
      </c>
      <c r="G2290" s="197" t="s">
        <v>688</v>
      </c>
    </row>
    <row r="2291" spans="1:7" hidden="1">
      <c r="A2291" s="197" t="s">
        <v>1501</v>
      </c>
      <c r="B2291" s="198">
        <v>9180</v>
      </c>
      <c r="C2291" s="198">
        <v>0</v>
      </c>
      <c r="D2291" s="197" t="s">
        <v>440</v>
      </c>
      <c r="E2291" s="197" t="s">
        <v>638</v>
      </c>
      <c r="F2291" s="197" t="s">
        <v>652</v>
      </c>
      <c r="G2291" s="197" t="s">
        <v>688</v>
      </c>
    </row>
    <row r="2292" spans="1:7" hidden="1">
      <c r="A2292" s="197" t="s">
        <v>1502</v>
      </c>
      <c r="B2292" s="198">
        <v>30000</v>
      </c>
      <c r="C2292" s="198">
        <v>0</v>
      </c>
      <c r="D2292" s="197" t="s">
        <v>440</v>
      </c>
      <c r="E2292" s="197" t="s">
        <v>638</v>
      </c>
      <c r="F2292" s="197" t="s">
        <v>652</v>
      </c>
      <c r="G2292" s="197" t="s">
        <v>688</v>
      </c>
    </row>
    <row r="2293" spans="1:7" hidden="1">
      <c r="A2293" s="197" t="s">
        <v>1503</v>
      </c>
      <c r="B2293" s="198">
        <v>8900</v>
      </c>
      <c r="C2293" s="198">
        <v>0</v>
      </c>
      <c r="D2293" s="197" t="s">
        <v>442</v>
      </c>
      <c r="E2293" s="197" t="s">
        <v>638</v>
      </c>
      <c r="F2293" s="197" t="s">
        <v>396</v>
      </c>
      <c r="G2293" s="197" t="s">
        <v>688</v>
      </c>
    </row>
    <row r="2294" spans="1:7" hidden="1">
      <c r="A2294" s="197" t="s">
        <v>1504</v>
      </c>
      <c r="B2294" s="198">
        <v>5100</v>
      </c>
      <c r="C2294" s="198">
        <v>0</v>
      </c>
      <c r="D2294" s="197" t="s">
        <v>442</v>
      </c>
      <c r="E2294" s="197" t="s">
        <v>638</v>
      </c>
      <c r="F2294" s="197" t="s">
        <v>396</v>
      </c>
      <c r="G2294" s="197" t="s">
        <v>688</v>
      </c>
    </row>
    <row r="2295" spans="1:7" hidden="1">
      <c r="A2295" s="197" t="s">
        <v>1505</v>
      </c>
      <c r="B2295" s="198">
        <v>500</v>
      </c>
      <c r="C2295" s="198">
        <v>0</v>
      </c>
      <c r="D2295" s="197" t="s">
        <v>442</v>
      </c>
      <c r="E2295" s="197" t="s">
        <v>638</v>
      </c>
      <c r="F2295" s="197" t="s">
        <v>396</v>
      </c>
      <c r="G2295" s="197" t="s">
        <v>688</v>
      </c>
    </row>
    <row r="2296" spans="1:7" hidden="1">
      <c r="A2296" s="197" t="s">
        <v>1506</v>
      </c>
      <c r="B2296" s="198">
        <v>-26515</v>
      </c>
      <c r="C2296" s="198">
        <v>0</v>
      </c>
      <c r="D2296" s="197" t="s">
        <v>442</v>
      </c>
      <c r="E2296" s="197" t="s">
        <v>638</v>
      </c>
      <c r="F2296" s="197" t="s">
        <v>396</v>
      </c>
      <c r="G2296" s="197" t="s">
        <v>688</v>
      </c>
    </row>
    <row r="2297" spans="1:7" hidden="1">
      <c r="A2297" s="197" t="s">
        <v>1506</v>
      </c>
      <c r="B2297" s="198">
        <v>-6100</v>
      </c>
      <c r="C2297" s="198">
        <v>0</v>
      </c>
      <c r="D2297" s="197" t="s">
        <v>474</v>
      </c>
      <c r="E2297" s="197" t="s">
        <v>638</v>
      </c>
      <c r="F2297" s="197" t="s">
        <v>396</v>
      </c>
      <c r="G2297" s="197" t="s">
        <v>688</v>
      </c>
    </row>
    <row r="2298" spans="1:7" hidden="1">
      <c r="A2298" s="197" t="s">
        <v>1507</v>
      </c>
      <c r="B2298" s="198">
        <v>-11517</v>
      </c>
      <c r="C2298" s="198">
        <v>0</v>
      </c>
      <c r="D2298" s="197" t="s">
        <v>440</v>
      </c>
      <c r="E2298" s="197" t="s">
        <v>638</v>
      </c>
      <c r="F2298" s="197" t="s">
        <v>409</v>
      </c>
      <c r="G2298" s="197" t="s">
        <v>688</v>
      </c>
    </row>
    <row r="2299" spans="1:7" hidden="1">
      <c r="A2299" s="197" t="s">
        <v>1508</v>
      </c>
      <c r="B2299" s="198">
        <v>17400</v>
      </c>
      <c r="C2299" s="198">
        <v>0</v>
      </c>
      <c r="D2299" s="197" t="s">
        <v>440</v>
      </c>
      <c r="E2299" s="197" t="s">
        <v>638</v>
      </c>
      <c r="F2299" s="197" t="s">
        <v>652</v>
      </c>
      <c r="G2299" s="197" t="s">
        <v>688</v>
      </c>
    </row>
    <row r="2300" spans="1:7" hidden="1">
      <c r="A2300" s="197" t="s">
        <v>1509</v>
      </c>
      <c r="B2300" s="198">
        <v>27900</v>
      </c>
      <c r="C2300" s="198">
        <v>0</v>
      </c>
      <c r="D2300" s="197" t="s">
        <v>474</v>
      </c>
      <c r="E2300" s="197" t="s">
        <v>638</v>
      </c>
      <c r="F2300" s="197" t="s">
        <v>396</v>
      </c>
      <c r="G2300" s="197" t="s">
        <v>688</v>
      </c>
    </row>
    <row r="2301" spans="1:7" hidden="1">
      <c r="A2301" s="197" t="s">
        <v>1510</v>
      </c>
      <c r="B2301" s="198">
        <v>45000</v>
      </c>
      <c r="C2301" s="198">
        <v>0</v>
      </c>
      <c r="D2301" s="197" t="s">
        <v>440</v>
      </c>
      <c r="E2301" s="197" t="s">
        <v>638</v>
      </c>
      <c r="F2301" s="197" t="s">
        <v>652</v>
      </c>
      <c r="G2301" s="197" t="s">
        <v>688</v>
      </c>
    </row>
    <row r="2302" spans="1:7" hidden="1">
      <c r="A2302" s="197" t="s">
        <v>1511</v>
      </c>
      <c r="B2302" s="198">
        <v>62300</v>
      </c>
      <c r="C2302" s="198">
        <v>0</v>
      </c>
      <c r="D2302" s="197" t="s">
        <v>440</v>
      </c>
      <c r="E2302" s="197" t="s">
        <v>638</v>
      </c>
      <c r="F2302" s="197" t="s">
        <v>652</v>
      </c>
      <c r="G2302" s="197" t="s">
        <v>688</v>
      </c>
    </row>
    <row r="2303" spans="1:7" hidden="1">
      <c r="A2303" s="197" t="s">
        <v>1512</v>
      </c>
      <c r="B2303" s="198">
        <v>31400</v>
      </c>
      <c r="C2303" s="198">
        <v>0</v>
      </c>
      <c r="D2303" s="197" t="s">
        <v>440</v>
      </c>
      <c r="E2303" s="197" t="s">
        <v>638</v>
      </c>
      <c r="F2303" s="197" t="s">
        <v>652</v>
      </c>
      <c r="G2303" s="197" t="s">
        <v>688</v>
      </c>
    </row>
    <row r="2304" spans="1:7" hidden="1">
      <c r="A2304" s="197" t="s">
        <v>1513</v>
      </c>
      <c r="B2304" s="198">
        <v>21000</v>
      </c>
      <c r="C2304" s="198">
        <v>0</v>
      </c>
      <c r="D2304" s="197" t="s">
        <v>440</v>
      </c>
      <c r="E2304" s="197" t="s">
        <v>638</v>
      </c>
      <c r="F2304" s="197" t="s">
        <v>652</v>
      </c>
      <c r="G2304" s="197" t="s">
        <v>688</v>
      </c>
    </row>
    <row r="2305" spans="1:7" hidden="1">
      <c r="A2305" s="197" t="s">
        <v>1514</v>
      </c>
      <c r="B2305" s="198">
        <v>13000</v>
      </c>
      <c r="C2305" s="198">
        <v>0</v>
      </c>
      <c r="D2305" s="197" t="s">
        <v>442</v>
      </c>
      <c r="E2305" s="197" t="s">
        <v>638</v>
      </c>
      <c r="F2305" s="197" t="s">
        <v>396</v>
      </c>
      <c r="G2305" s="197" t="s">
        <v>688</v>
      </c>
    </row>
    <row r="2306" spans="1:7" hidden="1">
      <c r="A2306" s="197" t="s">
        <v>1515</v>
      </c>
      <c r="B2306" s="198">
        <v>18700</v>
      </c>
      <c r="C2306" s="198">
        <v>0</v>
      </c>
      <c r="D2306" s="197" t="s">
        <v>440</v>
      </c>
      <c r="E2306" s="197" t="s">
        <v>638</v>
      </c>
      <c r="F2306" s="197" t="s">
        <v>652</v>
      </c>
      <c r="G2306" s="197" t="s">
        <v>688</v>
      </c>
    </row>
    <row r="2307" spans="1:7" hidden="1">
      <c r="A2307" s="197" t="s">
        <v>1516</v>
      </c>
      <c r="B2307" s="198">
        <v>27000</v>
      </c>
      <c r="C2307" s="198">
        <v>0</v>
      </c>
      <c r="D2307" s="197" t="s">
        <v>440</v>
      </c>
      <c r="E2307" s="197" t="s">
        <v>638</v>
      </c>
      <c r="F2307" s="197" t="s">
        <v>652</v>
      </c>
      <c r="G2307" s="197" t="s">
        <v>688</v>
      </c>
    </row>
    <row r="2308" spans="1:7" hidden="1">
      <c r="A2308" s="197" t="s">
        <v>1517</v>
      </c>
      <c r="B2308" s="198">
        <v>19600</v>
      </c>
      <c r="C2308" s="198">
        <v>0</v>
      </c>
      <c r="D2308" s="197" t="s">
        <v>440</v>
      </c>
      <c r="E2308" s="197" t="s">
        <v>638</v>
      </c>
      <c r="F2308" s="197" t="s">
        <v>652</v>
      </c>
      <c r="G2308" s="197" t="s">
        <v>688</v>
      </c>
    </row>
    <row r="2309" spans="1:7" hidden="1">
      <c r="A2309" s="197" t="s">
        <v>1518</v>
      </c>
      <c r="B2309" s="198">
        <v>18300</v>
      </c>
      <c r="C2309" s="198">
        <v>0</v>
      </c>
      <c r="D2309" s="197" t="s">
        <v>440</v>
      </c>
      <c r="E2309" s="197" t="s">
        <v>638</v>
      </c>
      <c r="F2309" s="197" t="s">
        <v>652</v>
      </c>
      <c r="G2309" s="197" t="s">
        <v>688</v>
      </c>
    </row>
    <row r="2310" spans="1:7" hidden="1">
      <c r="A2310" s="197" t="s">
        <v>1519</v>
      </c>
      <c r="B2310" s="198">
        <v>64200</v>
      </c>
      <c r="C2310" s="198">
        <v>0</v>
      </c>
      <c r="D2310" s="197" t="s">
        <v>440</v>
      </c>
      <c r="E2310" s="197" t="s">
        <v>638</v>
      </c>
      <c r="F2310" s="197" t="s">
        <v>652</v>
      </c>
      <c r="G2310" s="197" t="s">
        <v>688</v>
      </c>
    </row>
    <row r="2311" spans="1:7" hidden="1">
      <c r="A2311" s="197" t="s">
        <v>1520</v>
      </c>
      <c r="B2311" s="198">
        <v>35000</v>
      </c>
      <c r="C2311" s="198">
        <v>0</v>
      </c>
      <c r="D2311" s="197" t="s">
        <v>440</v>
      </c>
      <c r="E2311" s="197" t="s">
        <v>638</v>
      </c>
      <c r="F2311" s="197" t="s">
        <v>652</v>
      </c>
      <c r="G2311" s="197" t="s">
        <v>688</v>
      </c>
    </row>
    <row r="2312" spans="1:7" hidden="1">
      <c r="A2312" s="197" t="s">
        <v>1521</v>
      </c>
      <c r="B2312" s="198">
        <v>77900</v>
      </c>
      <c r="C2312" s="198">
        <v>0</v>
      </c>
      <c r="D2312" s="197" t="s">
        <v>440</v>
      </c>
      <c r="E2312" s="197" t="s">
        <v>638</v>
      </c>
      <c r="F2312" s="197" t="s">
        <v>409</v>
      </c>
      <c r="G2312" s="197" t="s">
        <v>688</v>
      </c>
    </row>
    <row r="2313" spans="1:7" hidden="1">
      <c r="A2313" s="197" t="s">
        <v>1522</v>
      </c>
      <c r="B2313" s="198">
        <v>14600</v>
      </c>
      <c r="C2313" s="198">
        <v>0</v>
      </c>
      <c r="D2313" s="197" t="s">
        <v>442</v>
      </c>
      <c r="E2313" s="197" t="s">
        <v>638</v>
      </c>
      <c r="F2313" s="197" t="s">
        <v>396</v>
      </c>
      <c r="G2313" s="197" t="s">
        <v>688</v>
      </c>
    </row>
    <row r="2314" spans="1:7" hidden="1">
      <c r="A2314" s="197" t="s">
        <v>1523</v>
      </c>
      <c r="B2314" s="198">
        <v>24000</v>
      </c>
      <c r="C2314" s="198">
        <v>0</v>
      </c>
      <c r="D2314" s="197" t="s">
        <v>440</v>
      </c>
      <c r="E2314" s="197" t="s">
        <v>638</v>
      </c>
      <c r="F2314" s="197" t="s">
        <v>652</v>
      </c>
      <c r="G2314" s="197" t="s">
        <v>688</v>
      </c>
    </row>
    <row r="2315" spans="1:7" hidden="1">
      <c r="A2315" s="197" t="s">
        <v>1524</v>
      </c>
      <c r="B2315" s="198">
        <v>28000</v>
      </c>
      <c r="C2315" s="198">
        <v>0</v>
      </c>
      <c r="D2315" s="197" t="s">
        <v>440</v>
      </c>
      <c r="E2315" s="197" t="s">
        <v>638</v>
      </c>
      <c r="F2315" s="197" t="s">
        <v>652</v>
      </c>
      <c r="G2315" s="197" t="s">
        <v>688</v>
      </c>
    </row>
    <row r="2316" spans="1:7" hidden="1">
      <c r="A2316" s="197" t="s">
        <v>1525</v>
      </c>
      <c r="B2316" s="198">
        <v>22300</v>
      </c>
      <c r="C2316" s="198">
        <v>0</v>
      </c>
      <c r="D2316" s="197" t="s">
        <v>440</v>
      </c>
      <c r="E2316" s="197" t="s">
        <v>638</v>
      </c>
      <c r="F2316" s="197" t="s">
        <v>652</v>
      </c>
      <c r="G2316" s="197" t="s">
        <v>688</v>
      </c>
    </row>
    <row r="2317" spans="1:7" hidden="1">
      <c r="A2317" s="197" t="s">
        <v>1526</v>
      </c>
      <c r="B2317" s="198">
        <v>52600</v>
      </c>
      <c r="C2317" s="198">
        <v>0</v>
      </c>
      <c r="D2317" s="197" t="s">
        <v>442</v>
      </c>
      <c r="E2317" s="197" t="s">
        <v>638</v>
      </c>
      <c r="F2317" s="197" t="s">
        <v>396</v>
      </c>
      <c r="G2317" s="197" t="s">
        <v>688</v>
      </c>
    </row>
    <row r="2318" spans="1:7" hidden="1">
      <c r="A2318" s="197" t="s">
        <v>1527</v>
      </c>
      <c r="B2318" s="198">
        <v>36800</v>
      </c>
      <c r="C2318" s="198">
        <v>0</v>
      </c>
      <c r="D2318" s="197" t="s">
        <v>440</v>
      </c>
      <c r="E2318" s="197" t="s">
        <v>638</v>
      </c>
      <c r="F2318" s="197" t="s">
        <v>652</v>
      </c>
      <c r="G2318" s="197" t="s">
        <v>688</v>
      </c>
    </row>
    <row r="2319" spans="1:7" hidden="1">
      <c r="A2319" s="197" t="s">
        <v>1528</v>
      </c>
      <c r="B2319" s="198">
        <v>23900</v>
      </c>
      <c r="C2319" s="198">
        <v>0</v>
      </c>
      <c r="D2319" s="197" t="s">
        <v>442</v>
      </c>
      <c r="E2319" s="197" t="s">
        <v>638</v>
      </c>
      <c r="F2319" s="197" t="s">
        <v>396</v>
      </c>
      <c r="G2319" s="197" t="s">
        <v>688</v>
      </c>
    </row>
    <row r="2320" spans="1:7" hidden="1">
      <c r="A2320" s="197" t="s">
        <v>1529</v>
      </c>
      <c r="B2320" s="198">
        <v>17100</v>
      </c>
      <c r="C2320" s="198">
        <v>0</v>
      </c>
      <c r="D2320" s="197" t="s">
        <v>440</v>
      </c>
      <c r="E2320" s="197" t="s">
        <v>638</v>
      </c>
      <c r="F2320" s="197" t="s">
        <v>652</v>
      </c>
      <c r="G2320" s="197" t="s">
        <v>688</v>
      </c>
    </row>
    <row r="2321" spans="1:7" hidden="1">
      <c r="A2321" s="197" t="s">
        <v>1530</v>
      </c>
      <c r="B2321" s="198">
        <v>14100</v>
      </c>
      <c r="C2321" s="198">
        <v>0</v>
      </c>
      <c r="D2321" s="197" t="s">
        <v>440</v>
      </c>
      <c r="E2321" s="197" t="s">
        <v>638</v>
      </c>
      <c r="F2321" s="197" t="s">
        <v>652</v>
      </c>
      <c r="G2321" s="197" t="s">
        <v>688</v>
      </c>
    </row>
    <row r="2322" spans="1:7" hidden="1">
      <c r="A2322" s="197" t="s">
        <v>1531</v>
      </c>
      <c r="B2322" s="198">
        <v>8100</v>
      </c>
      <c r="C2322" s="198">
        <v>0</v>
      </c>
      <c r="D2322" s="197" t="s">
        <v>442</v>
      </c>
      <c r="E2322" s="197" t="s">
        <v>638</v>
      </c>
      <c r="F2322" s="197" t="s">
        <v>396</v>
      </c>
      <c r="G2322" s="197" t="s">
        <v>688</v>
      </c>
    </row>
    <row r="2323" spans="1:7" hidden="1">
      <c r="A2323" s="197" t="s">
        <v>1532</v>
      </c>
      <c r="B2323" s="198">
        <v>59800</v>
      </c>
      <c r="C2323" s="198">
        <v>0</v>
      </c>
      <c r="D2323" s="197" t="s">
        <v>440</v>
      </c>
      <c r="E2323" s="197" t="s">
        <v>638</v>
      </c>
      <c r="F2323" s="197" t="s">
        <v>652</v>
      </c>
      <c r="G2323" s="197" t="s">
        <v>688</v>
      </c>
    </row>
    <row r="2324" spans="1:7" hidden="1">
      <c r="A2324" s="197" t="s">
        <v>1533</v>
      </c>
      <c r="B2324" s="198">
        <v>4900</v>
      </c>
      <c r="C2324" s="198">
        <v>0</v>
      </c>
      <c r="D2324" s="197" t="s">
        <v>440</v>
      </c>
      <c r="E2324" s="197" t="s">
        <v>638</v>
      </c>
      <c r="F2324" s="197" t="s">
        <v>652</v>
      </c>
      <c r="G2324" s="197" t="s">
        <v>688</v>
      </c>
    </row>
    <row r="2325" spans="1:7" hidden="1">
      <c r="A2325" s="197" t="s">
        <v>1534</v>
      </c>
      <c r="B2325" s="198">
        <v>7500</v>
      </c>
      <c r="C2325" s="198">
        <v>0</v>
      </c>
      <c r="D2325" s="197" t="s">
        <v>442</v>
      </c>
      <c r="E2325" s="197" t="s">
        <v>638</v>
      </c>
      <c r="F2325" s="197" t="s">
        <v>396</v>
      </c>
      <c r="G2325" s="197" t="s">
        <v>688</v>
      </c>
    </row>
    <row r="2326" spans="1:7" hidden="1">
      <c r="A2326" s="197" t="s">
        <v>1535</v>
      </c>
      <c r="B2326" s="198">
        <v>156400</v>
      </c>
      <c r="C2326" s="198">
        <v>0</v>
      </c>
      <c r="D2326" s="197" t="s">
        <v>440</v>
      </c>
      <c r="E2326" s="197" t="s">
        <v>638</v>
      </c>
      <c r="F2326" s="197" t="s">
        <v>652</v>
      </c>
      <c r="G2326" s="197" t="s">
        <v>688</v>
      </c>
    </row>
    <row r="2327" spans="1:7" hidden="1">
      <c r="A2327" s="197" t="s">
        <v>1536</v>
      </c>
      <c r="B2327" s="198">
        <v>7500</v>
      </c>
      <c r="C2327" s="198">
        <v>0</v>
      </c>
      <c r="D2327" s="197" t="s">
        <v>440</v>
      </c>
      <c r="E2327" s="197" t="s">
        <v>638</v>
      </c>
      <c r="F2327" s="197" t="s">
        <v>652</v>
      </c>
      <c r="G2327" s="197" t="s">
        <v>688</v>
      </c>
    </row>
    <row r="2328" spans="1:7" hidden="1">
      <c r="A2328" s="197" t="s">
        <v>1537</v>
      </c>
      <c r="B2328" s="198">
        <v>1500</v>
      </c>
      <c r="C2328" s="198">
        <v>0</v>
      </c>
      <c r="D2328" s="197" t="s">
        <v>442</v>
      </c>
      <c r="E2328" s="197" t="s">
        <v>638</v>
      </c>
      <c r="F2328" s="197" t="s">
        <v>396</v>
      </c>
      <c r="G2328" s="197" t="s">
        <v>688</v>
      </c>
    </row>
    <row r="2329" spans="1:7" hidden="1">
      <c r="A2329" s="197" t="s">
        <v>1538</v>
      </c>
      <c r="B2329" s="198">
        <v>8000</v>
      </c>
      <c r="C2329" s="198">
        <v>0</v>
      </c>
      <c r="D2329" s="197" t="s">
        <v>440</v>
      </c>
      <c r="E2329" s="197" t="s">
        <v>638</v>
      </c>
      <c r="F2329" s="197" t="s">
        <v>652</v>
      </c>
      <c r="G2329" s="197" t="s">
        <v>688</v>
      </c>
    </row>
    <row r="2330" spans="1:7" hidden="1">
      <c r="A2330" s="197" t="s">
        <v>1539</v>
      </c>
      <c r="B2330" s="198">
        <v>21100</v>
      </c>
      <c r="C2330" s="198">
        <v>0</v>
      </c>
      <c r="D2330" s="197" t="s">
        <v>440</v>
      </c>
      <c r="E2330" s="197" t="s">
        <v>638</v>
      </c>
      <c r="F2330" s="197" t="s">
        <v>652</v>
      </c>
      <c r="G2330" s="197" t="s">
        <v>688</v>
      </c>
    </row>
    <row r="2331" spans="1:7" hidden="1">
      <c r="A2331" s="197" t="s">
        <v>1540</v>
      </c>
      <c r="B2331" s="198">
        <v>1200</v>
      </c>
      <c r="C2331" s="198">
        <v>0</v>
      </c>
      <c r="D2331" s="197" t="s">
        <v>442</v>
      </c>
      <c r="E2331" s="197" t="s">
        <v>638</v>
      </c>
      <c r="F2331" s="197" t="s">
        <v>396</v>
      </c>
      <c r="G2331" s="197" t="s">
        <v>688</v>
      </c>
    </row>
    <row r="2332" spans="1:7" hidden="1">
      <c r="A2332" s="197" t="s">
        <v>1541</v>
      </c>
      <c r="B2332" s="198">
        <v>14700</v>
      </c>
      <c r="C2332" s="198">
        <v>0</v>
      </c>
      <c r="D2332" s="197" t="s">
        <v>440</v>
      </c>
      <c r="E2332" s="197" t="s">
        <v>638</v>
      </c>
      <c r="F2332" s="197" t="s">
        <v>652</v>
      </c>
      <c r="G2332" s="197" t="s">
        <v>688</v>
      </c>
    </row>
    <row r="2333" spans="1:7" hidden="1">
      <c r="A2333" s="197" t="s">
        <v>1542</v>
      </c>
      <c r="B2333" s="198">
        <v>1500</v>
      </c>
      <c r="C2333" s="198">
        <v>0</v>
      </c>
      <c r="D2333" s="197" t="s">
        <v>442</v>
      </c>
      <c r="E2333" s="197" t="s">
        <v>638</v>
      </c>
      <c r="F2333" s="197" t="s">
        <v>396</v>
      </c>
      <c r="G2333" s="197" t="s">
        <v>688</v>
      </c>
    </row>
    <row r="2334" spans="1:7" hidden="1">
      <c r="A2334" s="197" t="s">
        <v>1543</v>
      </c>
      <c r="B2334" s="198">
        <v>-32300</v>
      </c>
      <c r="C2334" s="198">
        <v>0</v>
      </c>
      <c r="D2334" s="197" t="s">
        <v>440</v>
      </c>
      <c r="E2334" s="197" t="s">
        <v>638</v>
      </c>
      <c r="F2334" s="197" t="s">
        <v>409</v>
      </c>
      <c r="G2334" s="197" t="s">
        <v>688</v>
      </c>
    </row>
    <row r="2335" spans="1:7" hidden="1">
      <c r="A2335" s="197" t="s">
        <v>1544</v>
      </c>
      <c r="B2335" s="198">
        <v>1400</v>
      </c>
      <c r="C2335" s="198">
        <v>0</v>
      </c>
      <c r="D2335" s="197" t="s">
        <v>442</v>
      </c>
      <c r="E2335" s="197" t="s">
        <v>638</v>
      </c>
      <c r="F2335" s="197" t="s">
        <v>396</v>
      </c>
      <c r="G2335" s="197" t="s">
        <v>688</v>
      </c>
    </row>
    <row r="2336" spans="1:7" hidden="1">
      <c r="A2336" s="197" t="s">
        <v>1545</v>
      </c>
      <c r="B2336" s="198">
        <v>34600</v>
      </c>
      <c r="C2336" s="198">
        <v>0</v>
      </c>
      <c r="D2336" s="197" t="s">
        <v>440</v>
      </c>
      <c r="E2336" s="197" t="s">
        <v>638</v>
      </c>
      <c r="F2336" s="197" t="s">
        <v>652</v>
      </c>
      <c r="G2336" s="197" t="s">
        <v>688</v>
      </c>
    </row>
    <row r="2337" spans="1:7" hidden="1">
      <c r="A2337" s="197" t="s">
        <v>1546</v>
      </c>
      <c r="B2337" s="198">
        <v>1300</v>
      </c>
      <c r="C2337" s="198">
        <v>0</v>
      </c>
      <c r="D2337" s="197" t="s">
        <v>442</v>
      </c>
      <c r="E2337" s="197" t="s">
        <v>638</v>
      </c>
      <c r="F2337" s="197" t="s">
        <v>396</v>
      </c>
      <c r="G2337" s="197" t="s">
        <v>688</v>
      </c>
    </row>
    <row r="2338" spans="1:7" hidden="1">
      <c r="A2338" s="197" t="s">
        <v>1547</v>
      </c>
      <c r="B2338" s="198">
        <v>9300</v>
      </c>
      <c r="C2338" s="198">
        <v>0</v>
      </c>
      <c r="D2338" s="197" t="s">
        <v>440</v>
      </c>
      <c r="E2338" s="197" t="s">
        <v>638</v>
      </c>
      <c r="F2338" s="197" t="s">
        <v>652</v>
      </c>
      <c r="G2338" s="197" t="s">
        <v>688</v>
      </c>
    </row>
    <row r="2339" spans="1:7" hidden="1">
      <c r="A2339" s="197" t="s">
        <v>1548</v>
      </c>
      <c r="B2339" s="198">
        <v>2600</v>
      </c>
      <c r="C2339" s="198">
        <v>0</v>
      </c>
      <c r="D2339" s="197" t="s">
        <v>442</v>
      </c>
      <c r="E2339" s="197" t="s">
        <v>638</v>
      </c>
      <c r="F2339" s="197" t="s">
        <v>396</v>
      </c>
      <c r="G2339" s="197" t="s">
        <v>688</v>
      </c>
    </row>
    <row r="2340" spans="1:7" hidden="1">
      <c r="A2340" s="197" t="s">
        <v>1549</v>
      </c>
      <c r="B2340" s="198">
        <v>7600</v>
      </c>
      <c r="C2340" s="198">
        <v>0</v>
      </c>
      <c r="D2340" s="197" t="s">
        <v>440</v>
      </c>
      <c r="E2340" s="197" t="s">
        <v>638</v>
      </c>
      <c r="F2340" s="197" t="s">
        <v>652</v>
      </c>
      <c r="G2340" s="197" t="s">
        <v>688</v>
      </c>
    </row>
    <row r="2341" spans="1:7" hidden="1">
      <c r="A2341" s="197" t="s">
        <v>1550</v>
      </c>
      <c r="B2341" s="198">
        <v>42000</v>
      </c>
      <c r="C2341" s="198">
        <v>0</v>
      </c>
      <c r="D2341" s="197" t="s">
        <v>440</v>
      </c>
      <c r="E2341" s="197" t="s">
        <v>638</v>
      </c>
      <c r="F2341" s="197" t="s">
        <v>652</v>
      </c>
      <c r="G2341" s="197" t="s">
        <v>688</v>
      </c>
    </row>
    <row r="2342" spans="1:7" hidden="1">
      <c r="A2342" s="197" t="s">
        <v>1551</v>
      </c>
      <c r="B2342" s="198">
        <v>29500</v>
      </c>
      <c r="C2342" s="198">
        <v>0</v>
      </c>
      <c r="D2342" s="197" t="s">
        <v>440</v>
      </c>
      <c r="E2342" s="197" t="s">
        <v>638</v>
      </c>
      <c r="F2342" s="197" t="s">
        <v>652</v>
      </c>
      <c r="G2342" s="197" t="s">
        <v>688</v>
      </c>
    </row>
    <row r="2343" spans="1:7" hidden="1">
      <c r="A2343" s="197" t="s">
        <v>1552</v>
      </c>
      <c r="B2343" s="198">
        <v>15000</v>
      </c>
      <c r="C2343" s="198">
        <v>0</v>
      </c>
      <c r="D2343" s="197" t="s">
        <v>440</v>
      </c>
      <c r="E2343" s="197" t="s">
        <v>638</v>
      </c>
      <c r="F2343" s="197" t="s">
        <v>652</v>
      </c>
      <c r="G2343" s="197" t="s">
        <v>688</v>
      </c>
    </row>
    <row r="2344" spans="1:7" hidden="1">
      <c r="A2344" s="197" t="s">
        <v>1553</v>
      </c>
      <c r="B2344" s="198">
        <v>14200</v>
      </c>
      <c r="C2344" s="198">
        <v>0</v>
      </c>
      <c r="D2344" s="197" t="s">
        <v>442</v>
      </c>
      <c r="E2344" s="197" t="s">
        <v>638</v>
      </c>
      <c r="F2344" s="197" t="s">
        <v>396</v>
      </c>
      <c r="G2344" s="197" t="s">
        <v>688</v>
      </c>
    </row>
    <row r="2345" spans="1:7" hidden="1">
      <c r="A2345" s="197" t="s">
        <v>1554</v>
      </c>
      <c r="B2345" s="198">
        <v>5000</v>
      </c>
      <c r="C2345" s="198">
        <v>0</v>
      </c>
      <c r="D2345" s="197" t="s">
        <v>440</v>
      </c>
      <c r="E2345" s="197" t="s">
        <v>638</v>
      </c>
      <c r="F2345" s="197" t="s">
        <v>652</v>
      </c>
      <c r="G2345" s="197" t="s">
        <v>688</v>
      </c>
    </row>
    <row r="2346" spans="1:7" hidden="1">
      <c r="A2346" s="197" t="s">
        <v>1555</v>
      </c>
      <c r="B2346" s="198">
        <v>47100</v>
      </c>
      <c r="C2346" s="198">
        <v>0</v>
      </c>
      <c r="D2346" s="197" t="s">
        <v>440</v>
      </c>
      <c r="E2346" s="197" t="s">
        <v>638</v>
      </c>
      <c r="F2346" s="197" t="s">
        <v>652</v>
      </c>
      <c r="G2346" s="197" t="s">
        <v>688</v>
      </c>
    </row>
    <row r="2347" spans="1:7" hidden="1">
      <c r="A2347" s="197" t="s">
        <v>1556</v>
      </c>
      <c r="B2347" s="198">
        <v>22500</v>
      </c>
      <c r="C2347" s="198">
        <v>0</v>
      </c>
      <c r="D2347" s="197" t="s">
        <v>440</v>
      </c>
      <c r="E2347" s="197" t="s">
        <v>638</v>
      </c>
      <c r="F2347" s="197" t="s">
        <v>652</v>
      </c>
      <c r="G2347" s="197" t="s">
        <v>688</v>
      </c>
    </row>
    <row r="2348" spans="1:7" hidden="1">
      <c r="A2348" s="197" t="s">
        <v>655</v>
      </c>
      <c r="B2348" s="198">
        <v>-247</v>
      </c>
      <c r="C2348" s="198">
        <v>0</v>
      </c>
      <c r="D2348" s="197" t="s">
        <v>440</v>
      </c>
      <c r="E2348" s="197" t="s">
        <v>639</v>
      </c>
      <c r="F2348" s="197" t="s">
        <v>393</v>
      </c>
      <c r="G2348" s="197" t="s">
        <v>688</v>
      </c>
    </row>
    <row r="2349" spans="1:7" hidden="1">
      <c r="A2349" s="197" t="s">
        <v>656</v>
      </c>
      <c r="B2349" s="198">
        <v>-472</v>
      </c>
      <c r="C2349" s="198">
        <v>0</v>
      </c>
      <c r="D2349" s="197" t="s">
        <v>440</v>
      </c>
      <c r="E2349" s="197" t="s">
        <v>639</v>
      </c>
      <c r="F2349" s="197" t="s">
        <v>393</v>
      </c>
      <c r="G2349" s="197" t="s">
        <v>688</v>
      </c>
    </row>
    <row r="2350" spans="1:7" hidden="1">
      <c r="A2350" s="197" t="s">
        <v>1557</v>
      </c>
      <c r="B2350" s="198">
        <v>-103800</v>
      </c>
      <c r="C2350" s="198">
        <v>0</v>
      </c>
      <c r="D2350" s="197" t="s">
        <v>440</v>
      </c>
      <c r="E2350" s="197" t="s">
        <v>638</v>
      </c>
      <c r="F2350" s="197" t="s">
        <v>652</v>
      </c>
      <c r="G2350" s="197" t="s">
        <v>688</v>
      </c>
    </row>
    <row r="2351" spans="1:7" hidden="1">
      <c r="A2351" s="197" t="s">
        <v>1558</v>
      </c>
      <c r="B2351" s="198">
        <v>7300</v>
      </c>
      <c r="C2351" s="198">
        <v>0</v>
      </c>
      <c r="D2351" s="197" t="s">
        <v>442</v>
      </c>
      <c r="E2351" s="197" t="s">
        <v>638</v>
      </c>
      <c r="F2351" s="197" t="s">
        <v>396</v>
      </c>
      <c r="G2351" s="197" t="s">
        <v>688</v>
      </c>
    </row>
    <row r="2352" spans="1:7" hidden="1">
      <c r="A2352" s="197" t="s">
        <v>1559</v>
      </c>
      <c r="B2352" s="198">
        <v>-37600</v>
      </c>
      <c r="C2352" s="198">
        <v>0</v>
      </c>
      <c r="D2352" s="197" t="s">
        <v>440</v>
      </c>
      <c r="E2352" s="197" t="s">
        <v>638</v>
      </c>
      <c r="F2352" s="197" t="s">
        <v>652</v>
      </c>
      <c r="G2352" s="197" t="s">
        <v>688</v>
      </c>
    </row>
    <row r="2353" spans="1:7" hidden="1">
      <c r="A2353" s="197" t="s">
        <v>1560</v>
      </c>
      <c r="B2353" s="198">
        <v>-14900</v>
      </c>
      <c r="C2353" s="198">
        <v>0</v>
      </c>
      <c r="D2353" s="197" t="s">
        <v>442</v>
      </c>
      <c r="E2353" s="197" t="s">
        <v>638</v>
      </c>
      <c r="F2353" s="197" t="s">
        <v>396</v>
      </c>
      <c r="G2353" s="197" t="s">
        <v>688</v>
      </c>
    </row>
    <row r="2354" spans="1:7" hidden="1">
      <c r="A2354" s="197" t="s">
        <v>1561</v>
      </c>
      <c r="B2354" s="198">
        <v>1400</v>
      </c>
      <c r="C2354" s="198">
        <v>0</v>
      </c>
      <c r="D2354" s="197" t="s">
        <v>440</v>
      </c>
      <c r="E2354" s="197" t="s">
        <v>638</v>
      </c>
      <c r="F2354" s="197" t="s">
        <v>652</v>
      </c>
      <c r="G2354" s="197" t="s">
        <v>688</v>
      </c>
    </row>
    <row r="2355" spans="1:7" hidden="1">
      <c r="A2355" s="197" t="s">
        <v>1562</v>
      </c>
      <c r="B2355" s="198">
        <v>-3200</v>
      </c>
      <c r="C2355" s="198">
        <v>0</v>
      </c>
      <c r="D2355" s="197" t="s">
        <v>442</v>
      </c>
      <c r="E2355" s="197" t="s">
        <v>638</v>
      </c>
      <c r="F2355" s="197" t="s">
        <v>396</v>
      </c>
      <c r="G2355" s="197" t="s">
        <v>688</v>
      </c>
    </row>
    <row r="2356" spans="1:7" hidden="1">
      <c r="A2356" s="197" t="s">
        <v>1563</v>
      </c>
      <c r="B2356" s="198">
        <v>10800</v>
      </c>
      <c r="C2356" s="198">
        <v>0</v>
      </c>
      <c r="D2356" s="197" t="s">
        <v>440</v>
      </c>
      <c r="E2356" s="197" t="s">
        <v>638</v>
      </c>
      <c r="F2356" s="197" t="s">
        <v>652</v>
      </c>
      <c r="G2356" s="197" t="s">
        <v>688</v>
      </c>
    </row>
    <row r="2357" spans="1:7" hidden="1">
      <c r="A2357" s="197" t="s">
        <v>1564</v>
      </c>
      <c r="B2357" s="198">
        <v>25000</v>
      </c>
      <c r="C2357" s="198">
        <v>0</v>
      </c>
      <c r="D2357" s="197" t="s">
        <v>440</v>
      </c>
      <c r="E2357" s="197" t="s">
        <v>638</v>
      </c>
      <c r="F2357" s="197" t="s">
        <v>652</v>
      </c>
      <c r="G2357" s="197" t="s">
        <v>688</v>
      </c>
    </row>
    <row r="2358" spans="1:7" hidden="1">
      <c r="A2358" s="197" t="s">
        <v>1565</v>
      </c>
      <c r="B2358" s="198">
        <v>1400</v>
      </c>
      <c r="C2358" s="198">
        <v>0</v>
      </c>
      <c r="D2358" s="197" t="s">
        <v>440</v>
      </c>
      <c r="E2358" s="197" t="s">
        <v>638</v>
      </c>
      <c r="F2358" s="197" t="s">
        <v>409</v>
      </c>
      <c r="G2358" s="197" t="s">
        <v>688</v>
      </c>
    </row>
    <row r="2359" spans="1:7" hidden="1">
      <c r="A2359" s="197" t="s">
        <v>1566</v>
      </c>
      <c r="B2359" s="198">
        <v>7700</v>
      </c>
      <c r="C2359" s="198">
        <v>0</v>
      </c>
      <c r="D2359" s="197" t="s">
        <v>440</v>
      </c>
      <c r="E2359" s="197" t="s">
        <v>638</v>
      </c>
      <c r="F2359" s="197" t="s">
        <v>652</v>
      </c>
      <c r="G2359" s="197" t="s">
        <v>688</v>
      </c>
    </row>
    <row r="2360" spans="1:7" hidden="1">
      <c r="A2360" s="197" t="s">
        <v>1567</v>
      </c>
      <c r="B2360" s="198">
        <v>19300</v>
      </c>
      <c r="C2360" s="198">
        <v>0</v>
      </c>
      <c r="D2360" s="197" t="s">
        <v>440</v>
      </c>
      <c r="E2360" s="197" t="s">
        <v>638</v>
      </c>
      <c r="F2360" s="197" t="s">
        <v>652</v>
      </c>
      <c r="G2360" s="197" t="s">
        <v>688</v>
      </c>
    </row>
    <row r="2361" spans="1:7" hidden="1">
      <c r="A2361" s="197" t="s">
        <v>1568</v>
      </c>
      <c r="B2361" s="198">
        <v>4500</v>
      </c>
      <c r="C2361" s="198">
        <v>0</v>
      </c>
      <c r="D2361" s="197" t="s">
        <v>440</v>
      </c>
      <c r="E2361" s="197" t="s">
        <v>638</v>
      </c>
      <c r="F2361" s="197" t="s">
        <v>652</v>
      </c>
      <c r="G2361" s="197" t="s">
        <v>688</v>
      </c>
    </row>
    <row r="2362" spans="1:7" hidden="1">
      <c r="A2362" s="197" t="s">
        <v>1569</v>
      </c>
      <c r="B2362" s="198">
        <v>-26800</v>
      </c>
      <c r="C2362" s="198">
        <v>0</v>
      </c>
      <c r="D2362" s="197" t="s">
        <v>442</v>
      </c>
      <c r="E2362" s="197" t="s">
        <v>638</v>
      </c>
      <c r="F2362" s="197" t="s">
        <v>396</v>
      </c>
      <c r="G2362" s="197" t="s">
        <v>688</v>
      </c>
    </row>
    <row r="2363" spans="1:7" hidden="1">
      <c r="A2363" s="197" t="s">
        <v>1570</v>
      </c>
      <c r="B2363" s="198">
        <v>16400</v>
      </c>
      <c r="C2363" s="198">
        <v>0</v>
      </c>
      <c r="D2363" s="197" t="s">
        <v>440</v>
      </c>
      <c r="E2363" s="197" t="s">
        <v>638</v>
      </c>
      <c r="F2363" s="197" t="s">
        <v>652</v>
      </c>
      <c r="G2363" s="197" t="s">
        <v>688</v>
      </c>
    </row>
    <row r="2364" spans="1:7" hidden="1">
      <c r="A2364" s="197" t="s">
        <v>1571</v>
      </c>
      <c r="B2364" s="198">
        <v>16000</v>
      </c>
      <c r="C2364" s="198">
        <v>0</v>
      </c>
      <c r="D2364" s="197" t="s">
        <v>440</v>
      </c>
      <c r="E2364" s="197" t="s">
        <v>638</v>
      </c>
      <c r="F2364" s="197" t="s">
        <v>652</v>
      </c>
      <c r="G2364" s="197" t="s">
        <v>688</v>
      </c>
    </row>
    <row r="2365" spans="1:7" hidden="1">
      <c r="A2365" s="197" t="s">
        <v>1572</v>
      </c>
      <c r="B2365" s="198">
        <v>21600</v>
      </c>
      <c r="C2365" s="198">
        <v>0</v>
      </c>
      <c r="D2365" s="197" t="s">
        <v>440</v>
      </c>
      <c r="E2365" s="197" t="s">
        <v>638</v>
      </c>
      <c r="F2365" s="197" t="s">
        <v>652</v>
      </c>
      <c r="G2365" s="197" t="s">
        <v>688</v>
      </c>
    </row>
    <row r="2366" spans="1:7" hidden="1">
      <c r="A2366" s="197" t="s">
        <v>1573</v>
      </c>
      <c r="B2366" s="198">
        <v>8000</v>
      </c>
      <c r="C2366" s="198">
        <v>0</v>
      </c>
      <c r="D2366" s="197" t="s">
        <v>440</v>
      </c>
      <c r="E2366" s="197" t="s">
        <v>638</v>
      </c>
      <c r="F2366" s="197" t="s">
        <v>652</v>
      </c>
      <c r="G2366" s="197" t="s">
        <v>688</v>
      </c>
    </row>
    <row r="2367" spans="1:7" hidden="1">
      <c r="A2367" s="197" t="s">
        <v>1574</v>
      </c>
      <c r="B2367" s="198">
        <v>37000</v>
      </c>
      <c r="C2367" s="198">
        <v>0</v>
      </c>
      <c r="D2367" s="197" t="s">
        <v>440</v>
      </c>
      <c r="E2367" s="197" t="s">
        <v>638</v>
      </c>
      <c r="F2367" s="197" t="s">
        <v>652</v>
      </c>
      <c r="G2367" s="197" t="s">
        <v>688</v>
      </c>
    </row>
    <row r="2368" spans="1:7" hidden="1">
      <c r="A2368" s="197" t="s">
        <v>1575</v>
      </c>
      <c r="B2368" s="198">
        <v>30800</v>
      </c>
      <c r="C2368" s="198">
        <v>0</v>
      </c>
      <c r="D2368" s="197" t="s">
        <v>440</v>
      </c>
      <c r="E2368" s="197" t="s">
        <v>638</v>
      </c>
      <c r="F2368" s="197" t="s">
        <v>652</v>
      </c>
      <c r="G2368" s="197" t="s">
        <v>688</v>
      </c>
    </row>
    <row r="2369" spans="1:7" hidden="1">
      <c r="A2369" s="197" t="s">
        <v>1576</v>
      </c>
      <c r="B2369" s="198">
        <v>18200</v>
      </c>
      <c r="C2369" s="198">
        <v>0</v>
      </c>
      <c r="D2369" s="197" t="s">
        <v>440</v>
      </c>
      <c r="E2369" s="197" t="s">
        <v>638</v>
      </c>
      <c r="F2369" s="197" t="s">
        <v>652</v>
      </c>
      <c r="G2369" s="197" t="s">
        <v>688</v>
      </c>
    </row>
    <row r="2370" spans="1:7" hidden="1">
      <c r="A2370" s="197" t="s">
        <v>1577</v>
      </c>
      <c r="B2370" s="198">
        <v>14746</v>
      </c>
      <c r="C2370" s="198">
        <v>0</v>
      </c>
      <c r="D2370" s="197" t="s">
        <v>440</v>
      </c>
      <c r="E2370" s="197" t="s">
        <v>638</v>
      </c>
      <c r="F2370" s="197" t="s">
        <v>652</v>
      </c>
      <c r="G2370" s="197" t="s">
        <v>688</v>
      </c>
    </row>
    <row r="2371" spans="1:7" hidden="1">
      <c r="A2371" s="197" t="s">
        <v>1578</v>
      </c>
      <c r="B2371" s="198">
        <v>14746</v>
      </c>
      <c r="C2371" s="198">
        <v>0</v>
      </c>
      <c r="D2371" s="197" t="s">
        <v>440</v>
      </c>
      <c r="E2371" s="197" t="s">
        <v>638</v>
      </c>
      <c r="F2371" s="197" t="s">
        <v>652</v>
      </c>
      <c r="G2371" s="197" t="s">
        <v>688</v>
      </c>
    </row>
    <row r="2372" spans="1:7" hidden="1">
      <c r="A2372" s="197" t="s">
        <v>1579</v>
      </c>
      <c r="B2372" s="198">
        <v>16600</v>
      </c>
      <c r="C2372" s="198">
        <v>0</v>
      </c>
      <c r="D2372" s="197" t="s">
        <v>440</v>
      </c>
      <c r="E2372" s="197" t="s">
        <v>638</v>
      </c>
      <c r="F2372" s="197" t="s">
        <v>652</v>
      </c>
      <c r="G2372" s="197" t="s">
        <v>688</v>
      </c>
    </row>
    <row r="2373" spans="1:7" hidden="1">
      <c r="A2373" s="197" t="s">
        <v>1580</v>
      </c>
      <c r="B2373" s="198">
        <v>63900</v>
      </c>
      <c r="C2373" s="198">
        <v>0</v>
      </c>
      <c r="D2373" s="197" t="s">
        <v>440</v>
      </c>
      <c r="E2373" s="197" t="s">
        <v>638</v>
      </c>
      <c r="F2373" s="197" t="s">
        <v>652</v>
      </c>
      <c r="G2373" s="197" t="s">
        <v>688</v>
      </c>
    </row>
    <row r="2374" spans="1:7" hidden="1">
      <c r="A2374" s="197" t="s">
        <v>1581</v>
      </c>
      <c r="B2374" s="198">
        <v>47400</v>
      </c>
      <c r="C2374" s="198">
        <v>0</v>
      </c>
      <c r="D2374" s="197" t="s">
        <v>440</v>
      </c>
      <c r="E2374" s="197" t="s">
        <v>638</v>
      </c>
      <c r="F2374" s="197" t="s">
        <v>652</v>
      </c>
      <c r="G2374" s="197" t="s">
        <v>688</v>
      </c>
    </row>
    <row r="2375" spans="1:7" hidden="1">
      <c r="A2375" s="197" t="s">
        <v>1582</v>
      </c>
      <c r="B2375" s="198">
        <v>34600</v>
      </c>
      <c r="C2375" s="198">
        <v>0</v>
      </c>
      <c r="D2375" s="197" t="s">
        <v>440</v>
      </c>
      <c r="E2375" s="197" t="s">
        <v>638</v>
      </c>
      <c r="F2375" s="197" t="s">
        <v>652</v>
      </c>
      <c r="G2375" s="197" t="s">
        <v>688</v>
      </c>
    </row>
    <row r="2376" spans="1:7" hidden="1">
      <c r="A2376" s="197" t="s">
        <v>1583</v>
      </c>
      <c r="B2376" s="198">
        <v>96200</v>
      </c>
      <c r="C2376" s="198">
        <v>0</v>
      </c>
      <c r="D2376" s="197" t="s">
        <v>440</v>
      </c>
      <c r="E2376" s="197" t="s">
        <v>638</v>
      </c>
      <c r="F2376" s="197" t="s">
        <v>652</v>
      </c>
      <c r="G2376" s="197" t="s">
        <v>688</v>
      </c>
    </row>
    <row r="2377" spans="1:7" hidden="1">
      <c r="A2377" s="197" t="s">
        <v>1584</v>
      </c>
      <c r="B2377" s="198">
        <v>400</v>
      </c>
      <c r="C2377" s="198">
        <v>0</v>
      </c>
      <c r="D2377" s="197" t="s">
        <v>442</v>
      </c>
      <c r="E2377" s="197" t="s">
        <v>638</v>
      </c>
      <c r="F2377" s="197" t="s">
        <v>396</v>
      </c>
      <c r="G2377" s="197" t="s">
        <v>688</v>
      </c>
    </row>
    <row r="2378" spans="1:7" hidden="1">
      <c r="A2378" s="197" t="s">
        <v>1585</v>
      </c>
      <c r="B2378" s="198">
        <v>1900</v>
      </c>
      <c r="C2378" s="198">
        <v>0</v>
      </c>
      <c r="D2378" s="197" t="s">
        <v>442</v>
      </c>
      <c r="E2378" s="197" t="s">
        <v>638</v>
      </c>
      <c r="F2378" s="197" t="s">
        <v>396</v>
      </c>
      <c r="G2378" s="197" t="s">
        <v>688</v>
      </c>
    </row>
    <row r="2379" spans="1:7" hidden="1">
      <c r="A2379" s="197" t="s">
        <v>1586</v>
      </c>
      <c r="B2379" s="198">
        <v>21300</v>
      </c>
      <c r="C2379" s="198">
        <v>0</v>
      </c>
      <c r="D2379" s="197" t="s">
        <v>440</v>
      </c>
      <c r="E2379" s="197" t="s">
        <v>638</v>
      </c>
      <c r="F2379" s="197" t="s">
        <v>652</v>
      </c>
      <c r="G2379" s="197" t="s">
        <v>688</v>
      </c>
    </row>
    <row r="2380" spans="1:7" hidden="1">
      <c r="A2380" s="197" t="s">
        <v>1587</v>
      </c>
      <c r="B2380" s="198">
        <v>19800</v>
      </c>
      <c r="C2380" s="198">
        <v>0</v>
      </c>
      <c r="D2380" s="197" t="s">
        <v>440</v>
      </c>
      <c r="E2380" s="197" t="s">
        <v>638</v>
      </c>
      <c r="F2380" s="197" t="s">
        <v>652</v>
      </c>
      <c r="G2380" s="197" t="s">
        <v>688</v>
      </c>
    </row>
    <row r="2381" spans="1:7" hidden="1">
      <c r="A2381" s="197" t="s">
        <v>1588</v>
      </c>
      <c r="B2381" s="198">
        <v>11600</v>
      </c>
      <c r="C2381" s="198">
        <v>0</v>
      </c>
      <c r="D2381" s="197" t="s">
        <v>440</v>
      </c>
      <c r="E2381" s="197" t="s">
        <v>638</v>
      </c>
      <c r="F2381" s="197" t="s">
        <v>652</v>
      </c>
      <c r="G2381" s="197" t="s">
        <v>688</v>
      </c>
    </row>
    <row r="2382" spans="1:7" hidden="1">
      <c r="A2382" s="197" t="s">
        <v>1589</v>
      </c>
      <c r="B2382" s="198">
        <v>2900</v>
      </c>
      <c r="C2382" s="198">
        <v>0</v>
      </c>
      <c r="D2382" s="197" t="s">
        <v>442</v>
      </c>
      <c r="E2382" s="197" t="s">
        <v>638</v>
      </c>
      <c r="F2382" s="197" t="s">
        <v>396</v>
      </c>
      <c r="G2382" s="197" t="s">
        <v>688</v>
      </c>
    </row>
    <row r="2383" spans="1:7" hidden="1">
      <c r="A2383" s="197" t="s">
        <v>1590</v>
      </c>
      <c r="B2383" s="198">
        <v>22000</v>
      </c>
      <c r="C2383" s="198">
        <v>0</v>
      </c>
      <c r="D2383" s="197" t="s">
        <v>440</v>
      </c>
      <c r="E2383" s="197" t="s">
        <v>638</v>
      </c>
      <c r="F2383" s="197" t="s">
        <v>409</v>
      </c>
      <c r="G2383" s="197" t="s">
        <v>688</v>
      </c>
    </row>
    <row r="2384" spans="1:7" hidden="1">
      <c r="A2384" s="197" t="s">
        <v>1591</v>
      </c>
      <c r="B2384" s="198">
        <v>54700</v>
      </c>
      <c r="C2384" s="198">
        <v>0</v>
      </c>
      <c r="D2384" s="197" t="s">
        <v>440</v>
      </c>
      <c r="E2384" s="197" t="s">
        <v>638</v>
      </c>
      <c r="F2384" s="197" t="s">
        <v>652</v>
      </c>
      <c r="G2384" s="197" t="s">
        <v>688</v>
      </c>
    </row>
    <row r="2385" spans="1:7" hidden="1">
      <c r="A2385" s="197" t="s">
        <v>1592</v>
      </c>
      <c r="B2385" s="198">
        <v>10500</v>
      </c>
      <c r="C2385" s="198">
        <v>0</v>
      </c>
      <c r="D2385" s="197" t="s">
        <v>440</v>
      </c>
      <c r="E2385" s="197" t="s">
        <v>638</v>
      </c>
      <c r="F2385" s="197" t="s">
        <v>652</v>
      </c>
      <c r="G2385" s="197" t="s">
        <v>688</v>
      </c>
    </row>
    <row r="2386" spans="1:7" hidden="1">
      <c r="A2386" s="197" t="s">
        <v>1593</v>
      </c>
      <c r="B2386" s="198">
        <v>18500</v>
      </c>
      <c r="C2386" s="198">
        <v>0</v>
      </c>
      <c r="D2386" s="197" t="s">
        <v>440</v>
      </c>
      <c r="E2386" s="197" t="s">
        <v>638</v>
      </c>
      <c r="F2386" s="197" t="s">
        <v>652</v>
      </c>
      <c r="G2386" s="197" t="s">
        <v>688</v>
      </c>
    </row>
    <row r="2387" spans="1:7" hidden="1">
      <c r="A2387" s="197" t="s">
        <v>1594</v>
      </c>
      <c r="B2387" s="198">
        <v>800</v>
      </c>
      <c r="C2387" s="198">
        <v>0</v>
      </c>
      <c r="D2387" s="197" t="s">
        <v>442</v>
      </c>
      <c r="E2387" s="197" t="s">
        <v>638</v>
      </c>
      <c r="F2387" s="197" t="s">
        <v>396</v>
      </c>
      <c r="G2387" s="197" t="s">
        <v>688</v>
      </c>
    </row>
    <row r="2388" spans="1:7" hidden="1">
      <c r="A2388" s="197" t="s">
        <v>1595</v>
      </c>
      <c r="B2388" s="198">
        <v>7200</v>
      </c>
      <c r="C2388" s="198">
        <v>0</v>
      </c>
      <c r="D2388" s="197" t="s">
        <v>442</v>
      </c>
      <c r="E2388" s="197" t="s">
        <v>638</v>
      </c>
      <c r="F2388" s="197" t="s">
        <v>396</v>
      </c>
      <c r="G2388" s="197" t="s">
        <v>688</v>
      </c>
    </row>
    <row r="2389" spans="1:7" hidden="1">
      <c r="A2389" s="197" t="s">
        <v>1596</v>
      </c>
      <c r="B2389" s="198">
        <v>18100</v>
      </c>
      <c r="C2389" s="198">
        <v>0</v>
      </c>
      <c r="D2389" s="197" t="s">
        <v>440</v>
      </c>
      <c r="E2389" s="197" t="s">
        <v>638</v>
      </c>
      <c r="F2389" s="197" t="s">
        <v>652</v>
      </c>
      <c r="G2389" s="197" t="s">
        <v>688</v>
      </c>
    </row>
    <row r="2390" spans="1:7" hidden="1">
      <c r="A2390" s="197" t="s">
        <v>1597</v>
      </c>
      <c r="B2390" s="198">
        <v>19400</v>
      </c>
      <c r="C2390" s="198">
        <v>0</v>
      </c>
      <c r="D2390" s="197" t="s">
        <v>440</v>
      </c>
      <c r="E2390" s="197" t="s">
        <v>638</v>
      </c>
      <c r="F2390" s="197" t="s">
        <v>652</v>
      </c>
      <c r="G2390" s="197" t="s">
        <v>688</v>
      </c>
    </row>
    <row r="2391" spans="1:7" hidden="1">
      <c r="A2391" s="197" t="s">
        <v>1598</v>
      </c>
      <c r="B2391" s="198">
        <v>5500</v>
      </c>
      <c r="C2391" s="198">
        <v>0</v>
      </c>
      <c r="D2391" s="197" t="s">
        <v>442</v>
      </c>
      <c r="E2391" s="197" t="s">
        <v>638</v>
      </c>
      <c r="F2391" s="197" t="s">
        <v>396</v>
      </c>
      <c r="G2391" s="197" t="s">
        <v>688</v>
      </c>
    </row>
    <row r="2392" spans="1:7" hidden="1">
      <c r="A2392" s="197" t="s">
        <v>1599</v>
      </c>
      <c r="B2392" s="198">
        <v>126900</v>
      </c>
      <c r="C2392" s="198">
        <v>0</v>
      </c>
      <c r="D2392" s="197" t="s">
        <v>440</v>
      </c>
      <c r="E2392" s="197" t="s">
        <v>638</v>
      </c>
      <c r="F2392" s="197" t="s">
        <v>409</v>
      </c>
      <c r="G2392" s="197" t="s">
        <v>688</v>
      </c>
    </row>
    <row r="2393" spans="1:7" hidden="1">
      <c r="A2393" s="197" t="s">
        <v>1600</v>
      </c>
      <c r="B2393" s="198">
        <v>6500</v>
      </c>
      <c r="C2393" s="198">
        <v>0</v>
      </c>
      <c r="D2393" s="197" t="s">
        <v>440</v>
      </c>
      <c r="E2393" s="197" t="s">
        <v>638</v>
      </c>
      <c r="F2393" s="197" t="s">
        <v>652</v>
      </c>
      <c r="G2393" s="197" t="s">
        <v>688</v>
      </c>
    </row>
    <row r="2394" spans="1:7" hidden="1">
      <c r="A2394" s="197" t="s">
        <v>1601</v>
      </c>
      <c r="B2394" s="198">
        <v>163400</v>
      </c>
      <c r="C2394" s="198">
        <v>0</v>
      </c>
      <c r="D2394" s="197" t="s">
        <v>440</v>
      </c>
      <c r="E2394" s="197" t="s">
        <v>638</v>
      </c>
      <c r="F2394" s="197" t="s">
        <v>652</v>
      </c>
      <c r="G2394" s="197" t="s">
        <v>688</v>
      </c>
    </row>
    <row r="2395" spans="1:7" hidden="1">
      <c r="A2395" s="197" t="s">
        <v>1602</v>
      </c>
      <c r="B2395" s="198">
        <v>-233376</v>
      </c>
      <c r="C2395" s="198">
        <v>0</v>
      </c>
      <c r="D2395" s="197" t="s">
        <v>440</v>
      </c>
      <c r="E2395" s="197" t="s">
        <v>638</v>
      </c>
      <c r="F2395" s="197" t="s">
        <v>652</v>
      </c>
      <c r="G2395" s="197" t="s">
        <v>688</v>
      </c>
    </row>
    <row r="2396" spans="1:7" hidden="1">
      <c r="A2396" s="197" t="s">
        <v>1603</v>
      </c>
      <c r="B2396" s="198">
        <v>-64600</v>
      </c>
      <c r="C2396" s="198">
        <v>0</v>
      </c>
      <c r="D2396" s="197" t="s">
        <v>442</v>
      </c>
      <c r="E2396" s="197" t="s">
        <v>638</v>
      </c>
      <c r="F2396" s="197" t="s">
        <v>396</v>
      </c>
      <c r="G2396" s="197" t="s">
        <v>688</v>
      </c>
    </row>
    <row r="2397" spans="1:7" hidden="1">
      <c r="A2397" s="197" t="s">
        <v>1604</v>
      </c>
      <c r="B2397" s="198">
        <v>58900</v>
      </c>
      <c r="C2397" s="198">
        <v>0</v>
      </c>
      <c r="D2397" s="197" t="s">
        <v>440</v>
      </c>
      <c r="E2397" s="197" t="s">
        <v>638</v>
      </c>
      <c r="F2397" s="197" t="s">
        <v>652</v>
      </c>
      <c r="G2397" s="197" t="s">
        <v>688</v>
      </c>
    </row>
    <row r="2398" spans="1:7" hidden="1">
      <c r="A2398" s="197" t="s">
        <v>1605</v>
      </c>
      <c r="B2398" s="198">
        <v>3500</v>
      </c>
      <c r="C2398" s="198">
        <v>0</v>
      </c>
      <c r="D2398" s="197" t="s">
        <v>442</v>
      </c>
      <c r="E2398" s="197" t="s">
        <v>638</v>
      </c>
      <c r="F2398" s="197" t="s">
        <v>396</v>
      </c>
      <c r="G2398" s="197" t="s">
        <v>688</v>
      </c>
    </row>
    <row r="2399" spans="1:7" hidden="1">
      <c r="A2399" s="197" t="s">
        <v>1606</v>
      </c>
      <c r="B2399" s="198">
        <v>3500</v>
      </c>
      <c r="C2399" s="198">
        <v>0</v>
      </c>
      <c r="D2399" s="197" t="s">
        <v>442</v>
      </c>
      <c r="E2399" s="197" t="s">
        <v>638</v>
      </c>
      <c r="F2399" s="197" t="s">
        <v>396</v>
      </c>
      <c r="G2399" s="197" t="s">
        <v>688</v>
      </c>
    </row>
    <row r="2400" spans="1:7" hidden="1">
      <c r="A2400" s="197" t="s">
        <v>1607</v>
      </c>
      <c r="B2400" s="198">
        <v>13900</v>
      </c>
      <c r="C2400" s="198">
        <v>0</v>
      </c>
      <c r="D2400" s="197" t="s">
        <v>442</v>
      </c>
      <c r="E2400" s="197" t="s">
        <v>638</v>
      </c>
      <c r="F2400" s="197" t="s">
        <v>396</v>
      </c>
      <c r="G2400" s="197" t="s">
        <v>688</v>
      </c>
    </row>
    <row r="2401" spans="1:7" hidden="1">
      <c r="A2401" s="197" t="s">
        <v>1608</v>
      </c>
      <c r="B2401" s="198">
        <v>3700</v>
      </c>
      <c r="C2401" s="198">
        <v>0</v>
      </c>
      <c r="D2401" s="197" t="s">
        <v>442</v>
      </c>
      <c r="E2401" s="197" t="s">
        <v>638</v>
      </c>
      <c r="F2401" s="197" t="s">
        <v>396</v>
      </c>
      <c r="G2401" s="197" t="s">
        <v>688</v>
      </c>
    </row>
    <row r="2402" spans="1:7" hidden="1">
      <c r="A2402" s="197" t="s">
        <v>1609</v>
      </c>
      <c r="B2402" s="198">
        <v>56800</v>
      </c>
      <c r="C2402" s="198">
        <v>0</v>
      </c>
      <c r="D2402" s="197" t="s">
        <v>440</v>
      </c>
      <c r="E2402" s="197" t="s">
        <v>638</v>
      </c>
      <c r="F2402" s="197" t="s">
        <v>652</v>
      </c>
      <c r="G2402" s="197" t="s">
        <v>688</v>
      </c>
    </row>
    <row r="2403" spans="1:7" hidden="1">
      <c r="A2403" s="197" t="s">
        <v>1610</v>
      </c>
      <c r="B2403" s="198">
        <v>4000</v>
      </c>
      <c r="C2403" s="198">
        <v>0</v>
      </c>
      <c r="D2403" s="197" t="s">
        <v>442</v>
      </c>
      <c r="E2403" s="197" t="s">
        <v>638</v>
      </c>
      <c r="F2403" s="197" t="s">
        <v>396</v>
      </c>
      <c r="G2403" s="197" t="s">
        <v>688</v>
      </c>
    </row>
    <row r="2404" spans="1:7" hidden="1">
      <c r="A2404" s="197" t="s">
        <v>1611</v>
      </c>
      <c r="B2404" s="198">
        <v>114200</v>
      </c>
      <c r="C2404" s="198">
        <v>0</v>
      </c>
      <c r="D2404" s="197" t="s">
        <v>440</v>
      </c>
      <c r="E2404" s="197" t="s">
        <v>638</v>
      </c>
      <c r="F2404" s="197" t="s">
        <v>652</v>
      </c>
      <c r="G2404" s="197" t="s">
        <v>688</v>
      </c>
    </row>
    <row r="2405" spans="1:7" hidden="1">
      <c r="A2405" s="197" t="s">
        <v>1612</v>
      </c>
      <c r="B2405" s="198">
        <v>30000</v>
      </c>
      <c r="C2405" s="198">
        <v>0</v>
      </c>
      <c r="D2405" s="197" t="s">
        <v>440</v>
      </c>
      <c r="E2405" s="197" t="s">
        <v>638</v>
      </c>
      <c r="F2405" s="197" t="s">
        <v>652</v>
      </c>
      <c r="G2405" s="197" t="s">
        <v>688</v>
      </c>
    </row>
    <row r="2406" spans="1:7" hidden="1">
      <c r="A2406" s="197" t="s">
        <v>1613</v>
      </c>
      <c r="B2406" s="198">
        <v>3500</v>
      </c>
      <c r="C2406" s="198">
        <v>0</v>
      </c>
      <c r="D2406" s="197" t="s">
        <v>442</v>
      </c>
      <c r="E2406" s="197" t="s">
        <v>638</v>
      </c>
      <c r="F2406" s="197" t="s">
        <v>396</v>
      </c>
      <c r="G2406" s="197" t="s">
        <v>688</v>
      </c>
    </row>
    <row r="2407" spans="1:7" hidden="1">
      <c r="A2407" s="197" t="s">
        <v>1614</v>
      </c>
      <c r="B2407" s="198">
        <v>26200</v>
      </c>
      <c r="C2407" s="198">
        <v>0</v>
      </c>
      <c r="D2407" s="197" t="s">
        <v>440</v>
      </c>
      <c r="E2407" s="197" t="s">
        <v>638</v>
      </c>
      <c r="F2407" s="197" t="s">
        <v>652</v>
      </c>
      <c r="G2407" s="197" t="s">
        <v>688</v>
      </c>
    </row>
    <row r="2408" spans="1:7" hidden="1">
      <c r="A2408" s="197" t="s">
        <v>1615</v>
      </c>
      <c r="B2408" s="198">
        <v>15600</v>
      </c>
      <c r="C2408" s="198">
        <v>0</v>
      </c>
      <c r="D2408" s="197" t="s">
        <v>440</v>
      </c>
      <c r="E2408" s="197" t="s">
        <v>638</v>
      </c>
      <c r="F2408" s="197" t="s">
        <v>652</v>
      </c>
      <c r="G2408" s="197" t="s">
        <v>688</v>
      </c>
    </row>
    <row r="2409" spans="1:7" hidden="1">
      <c r="A2409" s="197" t="s">
        <v>1616</v>
      </c>
      <c r="B2409" s="198">
        <v>3400</v>
      </c>
      <c r="C2409" s="198">
        <v>0</v>
      </c>
      <c r="D2409" s="197" t="s">
        <v>442</v>
      </c>
      <c r="E2409" s="197" t="s">
        <v>638</v>
      </c>
      <c r="F2409" s="197" t="s">
        <v>396</v>
      </c>
      <c r="G2409" s="197" t="s">
        <v>688</v>
      </c>
    </row>
    <row r="2410" spans="1:7" hidden="1">
      <c r="A2410" s="197" t="s">
        <v>1617</v>
      </c>
      <c r="B2410" s="198">
        <v>17000</v>
      </c>
      <c r="C2410" s="198">
        <v>0</v>
      </c>
      <c r="D2410" s="197" t="s">
        <v>440</v>
      </c>
      <c r="E2410" s="197" t="s">
        <v>638</v>
      </c>
      <c r="F2410" s="197" t="s">
        <v>652</v>
      </c>
      <c r="G2410" s="197" t="s">
        <v>688</v>
      </c>
    </row>
    <row r="2411" spans="1:7" hidden="1">
      <c r="A2411" s="197" t="s">
        <v>1618</v>
      </c>
      <c r="B2411" s="198">
        <v>7200</v>
      </c>
      <c r="C2411" s="198">
        <v>0</v>
      </c>
      <c r="D2411" s="197" t="s">
        <v>442</v>
      </c>
      <c r="E2411" s="197" t="s">
        <v>638</v>
      </c>
      <c r="F2411" s="197" t="s">
        <v>396</v>
      </c>
      <c r="G2411" s="197" t="s">
        <v>688</v>
      </c>
    </row>
    <row r="2412" spans="1:7" hidden="1">
      <c r="A2412" s="197" t="s">
        <v>1619</v>
      </c>
      <c r="B2412" s="198">
        <v>7400</v>
      </c>
      <c r="C2412" s="198">
        <v>0</v>
      </c>
      <c r="D2412" s="197" t="s">
        <v>442</v>
      </c>
      <c r="E2412" s="197" t="s">
        <v>638</v>
      </c>
      <c r="F2412" s="197" t="s">
        <v>396</v>
      </c>
      <c r="G2412" s="197" t="s">
        <v>688</v>
      </c>
    </row>
    <row r="2413" spans="1:7" hidden="1">
      <c r="A2413" s="197" t="s">
        <v>1620</v>
      </c>
      <c r="B2413" s="198">
        <v>28800</v>
      </c>
      <c r="C2413" s="198">
        <v>0</v>
      </c>
      <c r="D2413" s="197" t="s">
        <v>440</v>
      </c>
      <c r="E2413" s="197" t="s">
        <v>638</v>
      </c>
      <c r="F2413" s="197" t="s">
        <v>652</v>
      </c>
      <c r="G2413" s="197" t="s">
        <v>688</v>
      </c>
    </row>
    <row r="2414" spans="1:7" hidden="1">
      <c r="A2414" s="197" t="s">
        <v>1621</v>
      </c>
      <c r="B2414" s="198">
        <v>15200</v>
      </c>
      <c r="C2414" s="198">
        <v>0</v>
      </c>
      <c r="D2414" s="197" t="s">
        <v>442</v>
      </c>
      <c r="E2414" s="197" t="s">
        <v>638</v>
      </c>
      <c r="F2414" s="197" t="s">
        <v>396</v>
      </c>
      <c r="G2414" s="197" t="s">
        <v>688</v>
      </c>
    </row>
    <row r="2415" spans="1:7" hidden="1">
      <c r="A2415" s="197" t="s">
        <v>1622</v>
      </c>
      <c r="B2415" s="198">
        <v>5000</v>
      </c>
      <c r="C2415" s="198">
        <v>0</v>
      </c>
      <c r="D2415" s="197" t="s">
        <v>442</v>
      </c>
      <c r="E2415" s="197" t="s">
        <v>638</v>
      </c>
      <c r="F2415" s="197" t="s">
        <v>396</v>
      </c>
      <c r="G2415" s="197" t="s">
        <v>688</v>
      </c>
    </row>
    <row r="2416" spans="1:7" hidden="1">
      <c r="A2416" s="197" t="s">
        <v>1623</v>
      </c>
      <c r="B2416" s="198">
        <v>42000</v>
      </c>
      <c r="C2416" s="198">
        <v>0</v>
      </c>
      <c r="D2416" s="197" t="s">
        <v>440</v>
      </c>
      <c r="E2416" s="197" t="s">
        <v>638</v>
      </c>
      <c r="F2416" s="197" t="s">
        <v>652</v>
      </c>
      <c r="G2416" s="197" t="s">
        <v>688</v>
      </c>
    </row>
    <row r="2417" spans="1:7" hidden="1">
      <c r="A2417" s="197" t="s">
        <v>1624</v>
      </c>
      <c r="B2417" s="198">
        <v>136900</v>
      </c>
      <c r="C2417" s="198">
        <v>0</v>
      </c>
      <c r="D2417" s="197" t="s">
        <v>440</v>
      </c>
      <c r="E2417" s="197" t="s">
        <v>638</v>
      </c>
      <c r="F2417" s="197" t="s">
        <v>652</v>
      </c>
      <c r="G2417" s="197" t="s">
        <v>688</v>
      </c>
    </row>
    <row r="2418" spans="1:7" hidden="1">
      <c r="A2418" s="197" t="s">
        <v>1625</v>
      </c>
      <c r="B2418" s="198">
        <v>10034</v>
      </c>
      <c r="C2418" s="198">
        <v>0</v>
      </c>
      <c r="D2418" s="197" t="s">
        <v>442</v>
      </c>
      <c r="E2418" s="197" t="s">
        <v>638</v>
      </c>
      <c r="F2418" s="197" t="s">
        <v>396</v>
      </c>
      <c r="G2418" s="197" t="s">
        <v>688</v>
      </c>
    </row>
    <row r="2419" spans="1:7" hidden="1">
      <c r="A2419" s="197" t="s">
        <v>1626</v>
      </c>
      <c r="B2419" s="198">
        <v>4300</v>
      </c>
      <c r="C2419" s="198">
        <v>0</v>
      </c>
      <c r="D2419" s="197" t="s">
        <v>442</v>
      </c>
      <c r="E2419" s="197" t="s">
        <v>638</v>
      </c>
      <c r="F2419" s="197" t="s">
        <v>396</v>
      </c>
      <c r="G2419" s="197" t="s">
        <v>688</v>
      </c>
    </row>
    <row r="2420" spans="1:7" hidden="1">
      <c r="A2420" s="197" t="s">
        <v>1627</v>
      </c>
      <c r="B2420" s="198">
        <v>3600</v>
      </c>
      <c r="C2420" s="198">
        <v>0</v>
      </c>
      <c r="D2420" s="197" t="s">
        <v>442</v>
      </c>
      <c r="E2420" s="197" t="s">
        <v>638</v>
      </c>
      <c r="F2420" s="197" t="s">
        <v>396</v>
      </c>
      <c r="G2420" s="197" t="s">
        <v>688</v>
      </c>
    </row>
    <row r="2421" spans="1:7" hidden="1">
      <c r="A2421" s="197" t="s">
        <v>1627</v>
      </c>
      <c r="B2421" s="198">
        <v>16600</v>
      </c>
      <c r="C2421" s="198">
        <v>0</v>
      </c>
      <c r="D2421" s="197" t="s">
        <v>474</v>
      </c>
      <c r="E2421" s="197" t="s">
        <v>638</v>
      </c>
      <c r="F2421" s="197" t="s">
        <v>396</v>
      </c>
      <c r="G2421" s="197" t="s">
        <v>688</v>
      </c>
    </row>
    <row r="2422" spans="1:7" hidden="1">
      <c r="A2422" s="197" t="s">
        <v>1628</v>
      </c>
      <c r="B2422" s="198">
        <v>3000</v>
      </c>
      <c r="C2422" s="198">
        <v>0</v>
      </c>
      <c r="D2422" s="197" t="s">
        <v>442</v>
      </c>
      <c r="E2422" s="197" t="s">
        <v>638</v>
      </c>
      <c r="F2422" s="197" t="s">
        <v>396</v>
      </c>
      <c r="G2422" s="197" t="s">
        <v>688</v>
      </c>
    </row>
    <row r="2423" spans="1:7" hidden="1">
      <c r="A2423" s="197" t="s">
        <v>1629</v>
      </c>
      <c r="B2423" s="198">
        <v>9200</v>
      </c>
      <c r="C2423" s="198">
        <v>0</v>
      </c>
      <c r="D2423" s="197" t="s">
        <v>440</v>
      </c>
      <c r="E2423" s="197" t="s">
        <v>638</v>
      </c>
      <c r="F2423" s="197" t="s">
        <v>652</v>
      </c>
      <c r="G2423" s="197" t="s">
        <v>688</v>
      </c>
    </row>
    <row r="2424" spans="1:7" hidden="1">
      <c r="A2424" s="197" t="s">
        <v>1630</v>
      </c>
      <c r="B2424" s="198">
        <v>3000</v>
      </c>
      <c r="C2424" s="198">
        <v>0</v>
      </c>
      <c r="D2424" s="197" t="s">
        <v>442</v>
      </c>
      <c r="E2424" s="197" t="s">
        <v>638</v>
      </c>
      <c r="F2424" s="197" t="s">
        <v>396</v>
      </c>
      <c r="G2424" s="197" t="s">
        <v>688</v>
      </c>
    </row>
    <row r="2425" spans="1:7" hidden="1">
      <c r="A2425" s="197" t="s">
        <v>1631</v>
      </c>
      <c r="B2425" s="198">
        <v>14800</v>
      </c>
      <c r="C2425" s="198">
        <v>0</v>
      </c>
      <c r="D2425" s="197" t="s">
        <v>440</v>
      </c>
      <c r="E2425" s="197" t="s">
        <v>638</v>
      </c>
      <c r="F2425" s="197" t="s">
        <v>652</v>
      </c>
      <c r="G2425" s="197" t="s">
        <v>688</v>
      </c>
    </row>
    <row r="2426" spans="1:7" hidden="1">
      <c r="A2426" s="197" t="s">
        <v>1632</v>
      </c>
      <c r="B2426" s="198">
        <v>3100</v>
      </c>
      <c r="C2426" s="198">
        <v>0</v>
      </c>
      <c r="D2426" s="197" t="s">
        <v>442</v>
      </c>
      <c r="E2426" s="197" t="s">
        <v>638</v>
      </c>
      <c r="F2426" s="197" t="s">
        <v>396</v>
      </c>
      <c r="G2426" s="197" t="s">
        <v>688</v>
      </c>
    </row>
    <row r="2427" spans="1:7" hidden="1">
      <c r="A2427" s="197" t="s">
        <v>1633</v>
      </c>
      <c r="B2427" s="198">
        <v>3200</v>
      </c>
      <c r="C2427" s="198">
        <v>0</v>
      </c>
      <c r="D2427" s="197" t="s">
        <v>442</v>
      </c>
      <c r="E2427" s="197" t="s">
        <v>638</v>
      </c>
      <c r="F2427" s="197" t="s">
        <v>396</v>
      </c>
      <c r="G2427" s="197" t="s">
        <v>688</v>
      </c>
    </row>
    <row r="2428" spans="1:7" hidden="1">
      <c r="A2428" s="197" t="s">
        <v>1634</v>
      </c>
      <c r="B2428" s="198">
        <v>20800</v>
      </c>
      <c r="C2428" s="198">
        <v>0</v>
      </c>
      <c r="D2428" s="197" t="s">
        <v>440</v>
      </c>
      <c r="E2428" s="197" t="s">
        <v>638</v>
      </c>
      <c r="F2428" s="197" t="s">
        <v>652</v>
      </c>
      <c r="G2428" s="197" t="s">
        <v>688</v>
      </c>
    </row>
    <row r="2429" spans="1:7" hidden="1">
      <c r="A2429" s="197" t="s">
        <v>1635</v>
      </c>
      <c r="B2429" s="198">
        <v>20800</v>
      </c>
      <c r="C2429" s="198">
        <v>0</v>
      </c>
      <c r="D2429" s="197" t="s">
        <v>442</v>
      </c>
      <c r="E2429" s="197" t="s">
        <v>638</v>
      </c>
      <c r="F2429" s="197" t="s">
        <v>396</v>
      </c>
      <c r="G2429" s="197" t="s">
        <v>688</v>
      </c>
    </row>
    <row r="2430" spans="1:7" hidden="1">
      <c r="A2430" s="197" t="s">
        <v>1636</v>
      </c>
      <c r="B2430" s="198">
        <v>2700</v>
      </c>
      <c r="C2430" s="198">
        <v>0</v>
      </c>
      <c r="D2430" s="197" t="s">
        <v>440</v>
      </c>
      <c r="E2430" s="197" t="s">
        <v>638</v>
      </c>
      <c r="F2430" s="197" t="s">
        <v>409</v>
      </c>
      <c r="G2430" s="197" t="s">
        <v>688</v>
      </c>
    </row>
    <row r="2431" spans="1:7" hidden="1">
      <c r="A2431" s="197" t="s">
        <v>1637</v>
      </c>
      <c r="B2431" s="198">
        <v>16700</v>
      </c>
      <c r="C2431" s="198">
        <v>0</v>
      </c>
      <c r="D2431" s="197" t="s">
        <v>440</v>
      </c>
      <c r="E2431" s="197" t="s">
        <v>638</v>
      </c>
      <c r="F2431" s="197" t="s">
        <v>652</v>
      </c>
      <c r="G2431" s="197" t="s">
        <v>688</v>
      </c>
    </row>
    <row r="2432" spans="1:7" hidden="1">
      <c r="A2432" s="197" t="s">
        <v>1638</v>
      </c>
      <c r="B2432" s="198">
        <v>23900</v>
      </c>
      <c r="C2432" s="198">
        <v>0</v>
      </c>
      <c r="D2432" s="197" t="s">
        <v>440</v>
      </c>
      <c r="E2432" s="197" t="s">
        <v>638</v>
      </c>
      <c r="F2432" s="197" t="s">
        <v>652</v>
      </c>
      <c r="G2432" s="197" t="s">
        <v>688</v>
      </c>
    </row>
    <row r="2433" spans="1:7" hidden="1">
      <c r="A2433" s="197" t="s">
        <v>1639</v>
      </c>
      <c r="B2433" s="198">
        <v>6600</v>
      </c>
      <c r="C2433" s="198">
        <v>0</v>
      </c>
      <c r="D2433" s="197" t="s">
        <v>440</v>
      </c>
      <c r="E2433" s="197" t="s">
        <v>638</v>
      </c>
      <c r="F2433" s="197" t="s">
        <v>652</v>
      </c>
      <c r="G2433" s="197" t="s">
        <v>688</v>
      </c>
    </row>
    <row r="2434" spans="1:7" hidden="1">
      <c r="A2434" s="197" t="s">
        <v>1640</v>
      </c>
      <c r="B2434" s="198">
        <v>3100</v>
      </c>
      <c r="C2434" s="198">
        <v>0</v>
      </c>
      <c r="D2434" s="197" t="s">
        <v>440</v>
      </c>
      <c r="E2434" s="197" t="s">
        <v>638</v>
      </c>
      <c r="F2434" s="197" t="s">
        <v>652</v>
      </c>
      <c r="G2434" s="197" t="s">
        <v>688</v>
      </c>
    </row>
    <row r="2435" spans="1:7" hidden="1">
      <c r="A2435" s="197" t="s">
        <v>1641</v>
      </c>
      <c r="B2435" s="198">
        <v>400</v>
      </c>
      <c r="C2435" s="198">
        <v>0</v>
      </c>
      <c r="D2435" s="197" t="s">
        <v>440</v>
      </c>
      <c r="E2435" s="197" t="s">
        <v>638</v>
      </c>
      <c r="F2435" s="197" t="s">
        <v>652</v>
      </c>
      <c r="G2435" s="197" t="s">
        <v>688</v>
      </c>
    </row>
    <row r="2436" spans="1:7" hidden="1">
      <c r="A2436" s="197" t="s">
        <v>1642</v>
      </c>
      <c r="B2436" s="198">
        <v>18700</v>
      </c>
      <c r="C2436" s="198">
        <v>0</v>
      </c>
      <c r="D2436" s="197" t="s">
        <v>440</v>
      </c>
      <c r="E2436" s="197" t="s">
        <v>638</v>
      </c>
      <c r="F2436" s="197" t="s">
        <v>652</v>
      </c>
      <c r="G2436" s="197" t="s">
        <v>688</v>
      </c>
    </row>
    <row r="2437" spans="1:7" hidden="1">
      <c r="A2437" s="197" t="s">
        <v>1643</v>
      </c>
      <c r="B2437" s="198">
        <v>66100</v>
      </c>
      <c r="C2437" s="198">
        <v>0</v>
      </c>
      <c r="D2437" s="197" t="s">
        <v>440</v>
      </c>
      <c r="E2437" s="197" t="s">
        <v>638</v>
      </c>
      <c r="F2437" s="197" t="s">
        <v>652</v>
      </c>
      <c r="G2437" s="197" t="s">
        <v>688</v>
      </c>
    </row>
    <row r="2438" spans="1:7" hidden="1">
      <c r="A2438" s="197" t="s">
        <v>1644</v>
      </c>
      <c r="B2438" s="198">
        <v>4800</v>
      </c>
      <c r="C2438" s="198">
        <v>0</v>
      </c>
      <c r="D2438" s="197" t="s">
        <v>440</v>
      </c>
      <c r="E2438" s="197" t="s">
        <v>638</v>
      </c>
      <c r="F2438" s="197" t="s">
        <v>652</v>
      </c>
      <c r="G2438" s="197" t="s">
        <v>688</v>
      </c>
    </row>
    <row r="2439" spans="1:7" hidden="1">
      <c r="A2439" s="197" t="s">
        <v>1645</v>
      </c>
      <c r="B2439" s="198">
        <v>21200</v>
      </c>
      <c r="C2439" s="198">
        <v>0</v>
      </c>
      <c r="D2439" s="197" t="s">
        <v>440</v>
      </c>
      <c r="E2439" s="197" t="s">
        <v>638</v>
      </c>
      <c r="F2439" s="197" t="s">
        <v>652</v>
      </c>
      <c r="G2439" s="197" t="s">
        <v>688</v>
      </c>
    </row>
    <row r="2440" spans="1:7" hidden="1">
      <c r="A2440" s="197" t="s">
        <v>1646</v>
      </c>
      <c r="B2440" s="198">
        <v>1200</v>
      </c>
      <c r="C2440" s="198">
        <v>0</v>
      </c>
      <c r="D2440" s="197" t="s">
        <v>442</v>
      </c>
      <c r="E2440" s="197" t="s">
        <v>638</v>
      </c>
      <c r="F2440" s="197" t="s">
        <v>396</v>
      </c>
      <c r="G2440" s="197" t="s">
        <v>688</v>
      </c>
    </row>
    <row r="2441" spans="1:7" hidden="1">
      <c r="A2441" s="197" t="s">
        <v>1647</v>
      </c>
      <c r="B2441" s="198">
        <v>3100</v>
      </c>
      <c r="C2441" s="198">
        <v>0</v>
      </c>
      <c r="D2441" s="197" t="s">
        <v>442</v>
      </c>
      <c r="E2441" s="197" t="s">
        <v>638</v>
      </c>
      <c r="F2441" s="197" t="s">
        <v>396</v>
      </c>
      <c r="G2441" s="197" t="s">
        <v>688</v>
      </c>
    </row>
    <row r="2442" spans="1:7" hidden="1">
      <c r="A2442" s="197" t="s">
        <v>1648</v>
      </c>
      <c r="B2442" s="198">
        <v>700</v>
      </c>
      <c r="C2442" s="198">
        <v>0</v>
      </c>
      <c r="D2442" s="197" t="s">
        <v>442</v>
      </c>
      <c r="E2442" s="197" t="s">
        <v>638</v>
      </c>
      <c r="F2442" s="197" t="s">
        <v>396</v>
      </c>
      <c r="G2442" s="197" t="s">
        <v>688</v>
      </c>
    </row>
    <row r="2443" spans="1:7" hidden="1">
      <c r="A2443" s="197" t="s">
        <v>1649</v>
      </c>
      <c r="B2443" s="198">
        <v>20900</v>
      </c>
      <c r="C2443" s="198">
        <v>0</v>
      </c>
      <c r="D2443" s="197" t="s">
        <v>440</v>
      </c>
      <c r="E2443" s="197" t="s">
        <v>638</v>
      </c>
      <c r="F2443" s="197" t="s">
        <v>652</v>
      </c>
      <c r="G2443" s="197" t="s">
        <v>688</v>
      </c>
    </row>
    <row r="2444" spans="1:7" hidden="1">
      <c r="A2444" s="197" t="s">
        <v>1650</v>
      </c>
      <c r="B2444" s="198">
        <v>13800</v>
      </c>
      <c r="C2444" s="198">
        <v>0</v>
      </c>
      <c r="D2444" s="197" t="s">
        <v>440</v>
      </c>
      <c r="E2444" s="197" t="s">
        <v>638</v>
      </c>
      <c r="F2444" s="197" t="s">
        <v>652</v>
      </c>
      <c r="G2444" s="197" t="s">
        <v>688</v>
      </c>
    </row>
    <row r="2445" spans="1:7" hidden="1">
      <c r="A2445" s="197" t="s">
        <v>1651</v>
      </c>
      <c r="B2445" s="198">
        <v>1400</v>
      </c>
      <c r="C2445" s="198">
        <v>0</v>
      </c>
      <c r="D2445" s="197" t="s">
        <v>442</v>
      </c>
      <c r="E2445" s="197" t="s">
        <v>638</v>
      </c>
      <c r="F2445" s="197" t="s">
        <v>396</v>
      </c>
      <c r="G2445" s="197" t="s">
        <v>688</v>
      </c>
    </row>
    <row r="2446" spans="1:7" hidden="1">
      <c r="A2446" s="197" t="s">
        <v>1652</v>
      </c>
      <c r="B2446" s="198">
        <v>29800</v>
      </c>
      <c r="C2446" s="198">
        <v>0</v>
      </c>
      <c r="D2446" s="197" t="s">
        <v>440</v>
      </c>
      <c r="E2446" s="197" t="s">
        <v>638</v>
      </c>
      <c r="F2446" s="197" t="s">
        <v>652</v>
      </c>
      <c r="G2446" s="197" t="s">
        <v>688</v>
      </c>
    </row>
    <row r="2447" spans="1:7" hidden="1">
      <c r="A2447" s="197" t="s">
        <v>1653</v>
      </c>
      <c r="B2447" s="198">
        <v>4600</v>
      </c>
      <c r="C2447" s="198">
        <v>0</v>
      </c>
      <c r="D2447" s="197" t="s">
        <v>440</v>
      </c>
      <c r="E2447" s="197" t="s">
        <v>638</v>
      </c>
      <c r="F2447" s="197" t="s">
        <v>652</v>
      </c>
      <c r="G2447" s="197" t="s">
        <v>688</v>
      </c>
    </row>
    <row r="2448" spans="1:7" hidden="1">
      <c r="A2448" s="197" t="s">
        <v>1654</v>
      </c>
      <c r="B2448" s="198">
        <v>25400</v>
      </c>
      <c r="C2448" s="198">
        <v>0</v>
      </c>
      <c r="D2448" s="197" t="s">
        <v>440</v>
      </c>
      <c r="E2448" s="197" t="s">
        <v>638</v>
      </c>
      <c r="F2448" s="197" t="s">
        <v>652</v>
      </c>
      <c r="G2448" s="197" t="s">
        <v>688</v>
      </c>
    </row>
    <row r="2449" spans="1:7" hidden="1">
      <c r="A2449" s="197" t="s">
        <v>1655</v>
      </c>
      <c r="B2449" s="198">
        <v>26700</v>
      </c>
      <c r="C2449" s="198">
        <v>0</v>
      </c>
      <c r="D2449" s="197" t="s">
        <v>440</v>
      </c>
      <c r="E2449" s="197" t="s">
        <v>638</v>
      </c>
      <c r="F2449" s="197" t="s">
        <v>652</v>
      </c>
      <c r="G2449" s="197" t="s">
        <v>688</v>
      </c>
    </row>
    <row r="2450" spans="1:7" hidden="1">
      <c r="A2450" s="197" t="s">
        <v>1656</v>
      </c>
      <c r="B2450" s="198">
        <v>12100</v>
      </c>
      <c r="C2450" s="198">
        <v>0</v>
      </c>
      <c r="D2450" s="197" t="s">
        <v>440</v>
      </c>
      <c r="E2450" s="197" t="s">
        <v>638</v>
      </c>
      <c r="F2450" s="197" t="s">
        <v>652</v>
      </c>
      <c r="G2450" s="197" t="s">
        <v>688</v>
      </c>
    </row>
    <row r="2451" spans="1:7" hidden="1">
      <c r="A2451" s="197" t="s">
        <v>1657</v>
      </c>
      <c r="B2451" s="198">
        <v>2500</v>
      </c>
      <c r="C2451" s="198">
        <v>0</v>
      </c>
      <c r="D2451" s="197" t="s">
        <v>442</v>
      </c>
      <c r="E2451" s="197" t="s">
        <v>638</v>
      </c>
      <c r="F2451" s="197" t="s">
        <v>396</v>
      </c>
      <c r="G2451" s="197" t="s">
        <v>688</v>
      </c>
    </row>
    <row r="2452" spans="1:7" hidden="1">
      <c r="A2452" s="197" t="s">
        <v>1658</v>
      </c>
      <c r="B2452" s="198">
        <v>1100</v>
      </c>
      <c r="C2452" s="198">
        <v>0</v>
      </c>
      <c r="D2452" s="197" t="s">
        <v>442</v>
      </c>
      <c r="E2452" s="197" t="s">
        <v>638</v>
      </c>
      <c r="F2452" s="197" t="s">
        <v>396</v>
      </c>
      <c r="G2452" s="197" t="s">
        <v>688</v>
      </c>
    </row>
    <row r="2453" spans="1:7" hidden="1">
      <c r="A2453" s="197" t="s">
        <v>1659</v>
      </c>
      <c r="B2453" s="198">
        <v>4300</v>
      </c>
      <c r="C2453" s="198">
        <v>0</v>
      </c>
      <c r="D2453" s="197" t="s">
        <v>440</v>
      </c>
      <c r="E2453" s="197" t="s">
        <v>638</v>
      </c>
      <c r="F2453" s="197" t="s">
        <v>652</v>
      </c>
      <c r="G2453" s="197" t="s">
        <v>688</v>
      </c>
    </row>
    <row r="2454" spans="1:7" hidden="1">
      <c r="A2454" s="197" t="s">
        <v>1660</v>
      </c>
      <c r="B2454" s="198">
        <v>-76700</v>
      </c>
      <c r="C2454" s="198">
        <v>0</v>
      </c>
      <c r="D2454" s="197" t="s">
        <v>440</v>
      </c>
      <c r="E2454" s="197" t="s">
        <v>638</v>
      </c>
      <c r="F2454" s="197" t="s">
        <v>652</v>
      </c>
      <c r="G2454" s="197" t="s">
        <v>688</v>
      </c>
    </row>
    <row r="2455" spans="1:7" hidden="1">
      <c r="A2455" s="197" t="s">
        <v>1661</v>
      </c>
      <c r="B2455" s="198">
        <v>-3700</v>
      </c>
      <c r="C2455" s="198">
        <v>0</v>
      </c>
      <c r="D2455" s="197" t="s">
        <v>442</v>
      </c>
      <c r="E2455" s="197" t="s">
        <v>638</v>
      </c>
      <c r="F2455" s="197" t="s">
        <v>396</v>
      </c>
      <c r="G2455" s="197" t="s">
        <v>688</v>
      </c>
    </row>
    <row r="2456" spans="1:7" hidden="1">
      <c r="A2456" s="197" t="s">
        <v>657</v>
      </c>
      <c r="B2456" s="198">
        <v>-2123</v>
      </c>
      <c r="C2456" s="198">
        <v>0</v>
      </c>
      <c r="D2456" s="197" t="s">
        <v>440</v>
      </c>
      <c r="E2456" s="197" t="s">
        <v>439</v>
      </c>
      <c r="F2456" s="197" t="s">
        <v>394</v>
      </c>
      <c r="G2456" s="197" t="s">
        <v>688</v>
      </c>
    </row>
    <row r="2457" spans="1:7" hidden="1">
      <c r="A2457" s="197" t="s">
        <v>658</v>
      </c>
      <c r="B2457" s="198">
        <v>2470</v>
      </c>
      <c r="C2457" s="198">
        <v>0</v>
      </c>
      <c r="D2457" s="197" t="s">
        <v>440</v>
      </c>
      <c r="E2457" s="197" t="s">
        <v>317</v>
      </c>
      <c r="F2457" s="197" t="s">
        <v>394</v>
      </c>
      <c r="G2457" s="197" t="s">
        <v>688</v>
      </c>
    </row>
    <row r="2458" spans="1:7" hidden="1">
      <c r="A2458" s="197" t="s">
        <v>658</v>
      </c>
      <c r="B2458" s="198">
        <v>-2470</v>
      </c>
      <c r="C2458" s="198">
        <v>0</v>
      </c>
      <c r="D2458" s="197" t="s">
        <v>440</v>
      </c>
      <c r="E2458" s="197" t="s">
        <v>317</v>
      </c>
      <c r="F2458" s="197" t="s">
        <v>441</v>
      </c>
      <c r="G2458" s="197" t="s">
        <v>688</v>
      </c>
    </row>
    <row r="2459" spans="1:7">
      <c r="A2459" s="197" t="s">
        <v>658</v>
      </c>
      <c r="B2459" s="198">
        <v>-1290</v>
      </c>
      <c r="C2459" s="198">
        <v>0</v>
      </c>
      <c r="D2459" s="197" t="s">
        <v>282</v>
      </c>
      <c r="E2459" s="197" t="s">
        <v>317</v>
      </c>
      <c r="F2459" s="197" t="s">
        <v>394</v>
      </c>
      <c r="G2459" s="197" t="s">
        <v>688</v>
      </c>
    </row>
    <row r="2460" spans="1:7">
      <c r="A2460" s="197" t="s">
        <v>658</v>
      </c>
      <c r="B2460" s="198">
        <v>-1180</v>
      </c>
      <c r="C2460" s="198">
        <v>0</v>
      </c>
      <c r="D2460" s="197" t="s">
        <v>282</v>
      </c>
      <c r="E2460" s="197" t="s">
        <v>317</v>
      </c>
      <c r="F2460" s="197" t="s">
        <v>393</v>
      </c>
      <c r="G2460" s="197" t="s">
        <v>688</v>
      </c>
    </row>
    <row r="2461" spans="1:7">
      <c r="A2461" s="197" t="s">
        <v>658</v>
      </c>
      <c r="B2461" s="198">
        <v>2470</v>
      </c>
      <c r="C2461" s="198">
        <v>0</v>
      </c>
      <c r="D2461" s="197" t="s">
        <v>282</v>
      </c>
      <c r="E2461" s="197" t="s">
        <v>317</v>
      </c>
      <c r="F2461" s="197" t="s">
        <v>441</v>
      </c>
      <c r="G2461" s="197" t="s">
        <v>688</v>
      </c>
    </row>
    <row r="2462" spans="1:7">
      <c r="A2462" s="197" t="s">
        <v>661</v>
      </c>
      <c r="B2462" s="198">
        <v>-34</v>
      </c>
      <c r="C2462" s="198">
        <v>0</v>
      </c>
      <c r="D2462" s="197" t="s">
        <v>282</v>
      </c>
      <c r="E2462" s="197" t="s">
        <v>317</v>
      </c>
      <c r="F2462" s="197" t="s">
        <v>394</v>
      </c>
      <c r="G2462" s="197" t="s">
        <v>688</v>
      </c>
    </row>
    <row r="2463" spans="1:7">
      <c r="A2463" s="197" t="s">
        <v>661</v>
      </c>
      <c r="B2463" s="198">
        <v>34</v>
      </c>
      <c r="C2463" s="198">
        <v>0</v>
      </c>
      <c r="D2463" s="197" t="s">
        <v>282</v>
      </c>
      <c r="E2463" s="197" t="s">
        <v>317</v>
      </c>
      <c r="F2463" s="197" t="s">
        <v>413</v>
      </c>
      <c r="G2463" s="197" t="s">
        <v>688</v>
      </c>
    </row>
    <row r="2464" spans="1:7">
      <c r="A2464" s="197" t="s">
        <v>662</v>
      </c>
      <c r="B2464" s="198">
        <v>-542</v>
      </c>
      <c r="C2464" s="198">
        <v>0</v>
      </c>
      <c r="D2464" s="197" t="s">
        <v>282</v>
      </c>
      <c r="E2464" s="197" t="s">
        <v>317</v>
      </c>
      <c r="F2464" s="197" t="s">
        <v>394</v>
      </c>
      <c r="G2464" s="197" t="s">
        <v>688</v>
      </c>
    </row>
    <row r="2465" spans="1:7">
      <c r="A2465" s="197" t="s">
        <v>662</v>
      </c>
      <c r="B2465" s="198">
        <v>282</v>
      </c>
      <c r="C2465" s="198">
        <v>0</v>
      </c>
      <c r="D2465" s="197" t="s">
        <v>282</v>
      </c>
      <c r="E2465" s="197" t="s">
        <v>317</v>
      </c>
      <c r="F2465" s="197" t="s">
        <v>445</v>
      </c>
      <c r="G2465" s="197" t="s">
        <v>688</v>
      </c>
    </row>
    <row r="2466" spans="1:7">
      <c r="A2466" s="197" t="s">
        <v>662</v>
      </c>
      <c r="B2466" s="198">
        <v>-80</v>
      </c>
      <c r="C2466" s="198">
        <v>0</v>
      </c>
      <c r="D2466" s="197" t="s">
        <v>282</v>
      </c>
      <c r="E2466" s="197" t="s">
        <v>317</v>
      </c>
      <c r="F2466" s="197" t="s">
        <v>404</v>
      </c>
      <c r="G2466" s="197" t="s">
        <v>688</v>
      </c>
    </row>
    <row r="2467" spans="1:7">
      <c r="A2467" s="197" t="s">
        <v>662</v>
      </c>
      <c r="B2467" s="198">
        <v>340</v>
      </c>
      <c r="C2467" s="198">
        <v>0</v>
      </c>
      <c r="D2467" s="197" t="s">
        <v>282</v>
      </c>
      <c r="E2467" s="197" t="s">
        <v>317</v>
      </c>
      <c r="F2467" s="197" t="s">
        <v>393</v>
      </c>
      <c r="G2467" s="197" t="s">
        <v>688</v>
      </c>
    </row>
    <row r="2468" spans="1:7">
      <c r="A2468" s="197" t="s">
        <v>96</v>
      </c>
      <c r="B2468" s="198">
        <v>3086</v>
      </c>
      <c r="C2468" s="198">
        <v>0</v>
      </c>
      <c r="D2468" s="197" t="s">
        <v>282</v>
      </c>
      <c r="E2468" s="197" t="s">
        <v>39</v>
      </c>
      <c r="F2468" s="197" t="s">
        <v>394</v>
      </c>
      <c r="G2468" s="197" t="s">
        <v>688</v>
      </c>
    </row>
    <row r="2469" spans="1:7">
      <c r="A2469" s="197" t="s">
        <v>96</v>
      </c>
      <c r="B2469" s="198">
        <v>-343</v>
      </c>
      <c r="C2469" s="198">
        <v>0</v>
      </c>
      <c r="D2469" s="197" t="s">
        <v>282</v>
      </c>
      <c r="E2469" s="197" t="s">
        <v>39</v>
      </c>
      <c r="F2469" s="197" t="s">
        <v>445</v>
      </c>
      <c r="G2469" s="197" t="s">
        <v>688</v>
      </c>
    </row>
    <row r="2470" spans="1:7">
      <c r="A2470" s="197" t="s">
        <v>96</v>
      </c>
      <c r="B2470" s="198">
        <v>-3047</v>
      </c>
      <c r="C2470" s="198">
        <v>0</v>
      </c>
      <c r="D2470" s="197" t="s">
        <v>282</v>
      </c>
      <c r="E2470" s="197" t="s">
        <v>39</v>
      </c>
      <c r="F2470" s="197" t="s">
        <v>393</v>
      </c>
      <c r="G2470" s="197" t="s">
        <v>688</v>
      </c>
    </row>
    <row r="2471" spans="1:7">
      <c r="A2471" s="197" t="s">
        <v>96</v>
      </c>
      <c r="B2471" s="198">
        <v>466</v>
      </c>
      <c r="C2471" s="198">
        <v>0</v>
      </c>
      <c r="D2471" s="197" t="s">
        <v>282</v>
      </c>
      <c r="E2471" s="197" t="s">
        <v>39</v>
      </c>
      <c r="F2471" s="197" t="s">
        <v>407</v>
      </c>
      <c r="G2471" s="197" t="s">
        <v>688</v>
      </c>
    </row>
    <row r="2472" spans="1:7">
      <c r="A2472" s="197" t="s">
        <v>96</v>
      </c>
      <c r="B2472" s="198">
        <v>-162</v>
      </c>
      <c r="C2472" s="198">
        <v>0</v>
      </c>
      <c r="D2472" s="197" t="s">
        <v>282</v>
      </c>
      <c r="E2472" s="197" t="s">
        <v>39</v>
      </c>
      <c r="F2472" s="197" t="s">
        <v>449</v>
      </c>
      <c r="G2472" s="197" t="s">
        <v>688</v>
      </c>
    </row>
    <row r="2473" spans="1:7" hidden="1">
      <c r="A2473" s="197" t="s">
        <v>665</v>
      </c>
      <c r="B2473" s="198">
        <v>-433</v>
      </c>
      <c r="C2473" s="198">
        <v>0</v>
      </c>
      <c r="D2473" s="197" t="s">
        <v>442</v>
      </c>
      <c r="E2473" s="197" t="s">
        <v>317</v>
      </c>
      <c r="F2473" s="197" t="s">
        <v>394</v>
      </c>
      <c r="G2473" s="197" t="s">
        <v>688</v>
      </c>
    </row>
    <row r="2474" spans="1:7" hidden="1">
      <c r="A2474" s="197" t="s">
        <v>82</v>
      </c>
      <c r="B2474" s="198">
        <v>101</v>
      </c>
      <c r="C2474" s="198">
        <v>0</v>
      </c>
      <c r="D2474" s="197" t="s">
        <v>283</v>
      </c>
      <c r="E2474" s="197" t="s">
        <v>317</v>
      </c>
      <c r="F2474" s="197" t="s">
        <v>394</v>
      </c>
      <c r="G2474" s="197" t="s">
        <v>688</v>
      </c>
    </row>
    <row r="2475" spans="1:7" hidden="1">
      <c r="A2475" s="197" t="s">
        <v>82</v>
      </c>
      <c r="B2475" s="198">
        <v>-101</v>
      </c>
      <c r="C2475" s="198">
        <v>0</v>
      </c>
      <c r="D2475" s="197" t="s">
        <v>283</v>
      </c>
      <c r="E2475" s="197" t="s">
        <v>317</v>
      </c>
      <c r="F2475" s="197" t="s">
        <v>441</v>
      </c>
      <c r="G2475" s="197" t="s">
        <v>688</v>
      </c>
    </row>
    <row r="2476" spans="1:7">
      <c r="A2476" s="197" t="s">
        <v>82</v>
      </c>
      <c r="B2476" s="198">
        <v>265</v>
      </c>
      <c r="C2476" s="198">
        <v>0</v>
      </c>
      <c r="D2476" s="197" t="s">
        <v>282</v>
      </c>
      <c r="E2476" s="197" t="s">
        <v>317</v>
      </c>
      <c r="F2476" s="197" t="s">
        <v>394</v>
      </c>
      <c r="G2476" s="197" t="s">
        <v>688</v>
      </c>
    </row>
    <row r="2477" spans="1:7">
      <c r="A2477" s="197" t="s">
        <v>82</v>
      </c>
      <c r="B2477" s="198">
        <v>173</v>
      </c>
      <c r="C2477" s="198">
        <v>0</v>
      </c>
      <c r="D2477" s="197" t="s">
        <v>282</v>
      </c>
      <c r="E2477" s="197" t="s">
        <v>317</v>
      </c>
      <c r="F2477" s="197" t="s">
        <v>393</v>
      </c>
      <c r="G2477" s="197" t="s">
        <v>688</v>
      </c>
    </row>
    <row r="2478" spans="1:7">
      <c r="A2478" s="197" t="s">
        <v>82</v>
      </c>
      <c r="B2478" s="198">
        <v>-348</v>
      </c>
      <c r="C2478" s="198">
        <v>0</v>
      </c>
      <c r="D2478" s="197" t="s">
        <v>282</v>
      </c>
      <c r="E2478" s="197" t="s">
        <v>317</v>
      </c>
      <c r="F2478" s="197" t="s">
        <v>413</v>
      </c>
      <c r="G2478" s="197" t="s">
        <v>688</v>
      </c>
    </row>
    <row r="2479" spans="1:7">
      <c r="A2479" s="197" t="s">
        <v>82</v>
      </c>
      <c r="B2479" s="198">
        <v>-191</v>
      </c>
      <c r="C2479" s="198">
        <v>0</v>
      </c>
      <c r="D2479" s="197" t="s">
        <v>282</v>
      </c>
      <c r="E2479" s="197" t="s">
        <v>317</v>
      </c>
      <c r="F2479" s="197" t="s">
        <v>403</v>
      </c>
      <c r="G2479" s="197" t="s">
        <v>688</v>
      </c>
    </row>
    <row r="2480" spans="1:7">
      <c r="A2480" s="197" t="s">
        <v>82</v>
      </c>
      <c r="B2480" s="198">
        <v>101</v>
      </c>
      <c r="C2480" s="198">
        <v>0</v>
      </c>
      <c r="D2480" s="197" t="s">
        <v>282</v>
      </c>
      <c r="E2480" s="197" t="s">
        <v>317</v>
      </c>
      <c r="F2480" s="197" t="s">
        <v>441</v>
      </c>
      <c r="G2480" s="197" t="s">
        <v>688</v>
      </c>
    </row>
    <row r="2481" spans="1:7" hidden="1">
      <c r="A2481" s="197" t="s">
        <v>666</v>
      </c>
      <c r="B2481" s="198">
        <v>2</v>
      </c>
      <c r="C2481" s="198">
        <v>0</v>
      </c>
      <c r="D2481" s="197" t="s">
        <v>283</v>
      </c>
      <c r="E2481" s="197" t="s">
        <v>319</v>
      </c>
      <c r="F2481" s="197" t="s">
        <v>394</v>
      </c>
      <c r="G2481" s="197" t="s">
        <v>688</v>
      </c>
    </row>
    <row r="2482" spans="1:7">
      <c r="A2482" s="197" t="s">
        <v>666</v>
      </c>
      <c r="B2482" s="198">
        <v>-2</v>
      </c>
      <c r="C2482" s="198">
        <v>0</v>
      </c>
      <c r="D2482" s="197" t="s">
        <v>282</v>
      </c>
      <c r="E2482" s="197" t="s">
        <v>319</v>
      </c>
      <c r="F2482" s="197" t="s">
        <v>394</v>
      </c>
      <c r="G2482" s="197" t="s">
        <v>688</v>
      </c>
    </row>
    <row r="2483" spans="1:7">
      <c r="A2483" s="197" t="s">
        <v>666</v>
      </c>
      <c r="B2483" s="198">
        <v>5</v>
      </c>
      <c r="C2483" s="198">
        <v>0</v>
      </c>
      <c r="D2483" s="197" t="s">
        <v>282</v>
      </c>
      <c r="E2483" s="197" t="s">
        <v>319</v>
      </c>
      <c r="F2483" s="197" t="s">
        <v>408</v>
      </c>
      <c r="G2483" s="197" t="s">
        <v>688</v>
      </c>
    </row>
    <row r="2484" spans="1:7" hidden="1">
      <c r="A2484" s="197" t="s">
        <v>670</v>
      </c>
      <c r="B2484" s="198">
        <v>-1850</v>
      </c>
      <c r="C2484" s="198">
        <v>0</v>
      </c>
      <c r="D2484" s="197" t="s">
        <v>440</v>
      </c>
      <c r="E2484" s="197" t="s">
        <v>439</v>
      </c>
      <c r="F2484" s="197" t="s">
        <v>394</v>
      </c>
      <c r="G2484" s="197" t="s">
        <v>688</v>
      </c>
    </row>
    <row r="2485" spans="1:7" hidden="1">
      <c r="A2485" s="197" t="s">
        <v>671</v>
      </c>
      <c r="B2485" s="198">
        <v>7000000</v>
      </c>
      <c r="C2485" s="198">
        <v>0</v>
      </c>
      <c r="D2485" s="197" t="s">
        <v>437</v>
      </c>
      <c r="E2485" s="197" t="s">
        <v>672</v>
      </c>
      <c r="F2485" s="197" t="s">
        <v>673</v>
      </c>
      <c r="G2485" s="197" t="s">
        <v>688</v>
      </c>
    </row>
    <row r="2486" spans="1:7" hidden="1">
      <c r="A2486" s="197" t="s">
        <v>674</v>
      </c>
      <c r="B2486" s="198">
        <v>9800000</v>
      </c>
      <c r="C2486" s="198">
        <v>0</v>
      </c>
      <c r="D2486" s="197" t="s">
        <v>437</v>
      </c>
      <c r="E2486" s="197" t="s">
        <v>672</v>
      </c>
      <c r="F2486" s="197" t="s">
        <v>673</v>
      </c>
      <c r="G2486" s="197" t="s">
        <v>688</v>
      </c>
    </row>
    <row r="2487" spans="1:7" hidden="1">
      <c r="A2487" s="197" t="s">
        <v>675</v>
      </c>
      <c r="B2487" s="198">
        <v>-7000000</v>
      </c>
      <c r="C2487" s="198">
        <v>0</v>
      </c>
      <c r="D2487" s="197" t="s">
        <v>437</v>
      </c>
      <c r="E2487" s="197" t="s">
        <v>672</v>
      </c>
      <c r="F2487" s="197" t="s">
        <v>673</v>
      </c>
      <c r="G2487" s="197" t="s">
        <v>688</v>
      </c>
    </row>
    <row r="2488" spans="1:7" hidden="1">
      <c r="A2488" s="197" t="s">
        <v>676</v>
      </c>
      <c r="B2488" s="198">
        <v>-9800000</v>
      </c>
      <c r="C2488" s="198">
        <v>0</v>
      </c>
      <c r="D2488" s="197" t="s">
        <v>437</v>
      </c>
      <c r="E2488" s="197" t="s">
        <v>672</v>
      </c>
      <c r="F2488" s="197" t="s">
        <v>673</v>
      </c>
      <c r="G2488" s="197" t="s">
        <v>688</v>
      </c>
    </row>
    <row r="2489" spans="1:7" hidden="1">
      <c r="A2489" s="197" t="s">
        <v>364</v>
      </c>
      <c r="B2489" s="198">
        <v>-2805</v>
      </c>
      <c r="C2489" s="198">
        <v>0</v>
      </c>
      <c r="D2489" s="197" t="s">
        <v>480</v>
      </c>
      <c r="E2489" s="197" t="s">
        <v>447</v>
      </c>
      <c r="F2489" s="197" t="s">
        <v>394</v>
      </c>
      <c r="G2489" s="197" t="s">
        <v>688</v>
      </c>
    </row>
    <row r="2490" spans="1:7" hidden="1">
      <c r="A2490" s="197" t="s">
        <v>364</v>
      </c>
      <c r="B2490" s="198">
        <v>2805</v>
      </c>
      <c r="C2490" s="198">
        <v>0</v>
      </c>
      <c r="D2490" s="197" t="s">
        <v>480</v>
      </c>
      <c r="E2490" s="197" t="s">
        <v>447</v>
      </c>
      <c r="F2490" s="197" t="s">
        <v>404</v>
      </c>
      <c r="G2490" s="197" t="s">
        <v>688</v>
      </c>
    </row>
    <row r="2491" spans="1:7" hidden="1">
      <c r="A2491" s="197" t="s">
        <v>364</v>
      </c>
      <c r="B2491" s="198">
        <v>2805</v>
      </c>
      <c r="C2491" s="198">
        <v>0</v>
      </c>
      <c r="D2491" s="197" t="s">
        <v>587</v>
      </c>
      <c r="E2491" s="197" t="s">
        <v>447</v>
      </c>
      <c r="F2491" s="197" t="s">
        <v>394</v>
      </c>
      <c r="G2491" s="197" t="s">
        <v>688</v>
      </c>
    </row>
    <row r="2492" spans="1:7" hidden="1">
      <c r="A2492" s="197" t="s">
        <v>364</v>
      </c>
      <c r="B2492" s="198">
        <v>-2805</v>
      </c>
      <c r="C2492" s="198">
        <v>0</v>
      </c>
      <c r="D2492" s="197" t="s">
        <v>587</v>
      </c>
      <c r="E2492" s="197" t="s">
        <v>447</v>
      </c>
      <c r="F2492" s="197" t="s">
        <v>404</v>
      </c>
      <c r="G2492" s="197" t="s">
        <v>688</v>
      </c>
    </row>
    <row r="2493" spans="1:7">
      <c r="A2493" s="197" t="s">
        <v>364</v>
      </c>
      <c r="B2493" s="198">
        <v>1015</v>
      </c>
      <c r="C2493" s="198">
        <v>0</v>
      </c>
      <c r="D2493" s="197" t="s">
        <v>282</v>
      </c>
      <c r="E2493" s="197" t="s">
        <v>447</v>
      </c>
      <c r="F2493" s="197" t="s">
        <v>394</v>
      </c>
      <c r="G2493" s="197" t="s">
        <v>688</v>
      </c>
    </row>
    <row r="2494" spans="1:7">
      <c r="A2494" s="197" t="s">
        <v>364</v>
      </c>
      <c r="B2494" s="198">
        <v>-809</v>
      </c>
      <c r="C2494" s="198">
        <v>0</v>
      </c>
      <c r="D2494" s="197" t="s">
        <v>282</v>
      </c>
      <c r="E2494" s="197" t="s">
        <v>447</v>
      </c>
      <c r="F2494" s="197" t="s">
        <v>397</v>
      </c>
      <c r="G2494" s="197" t="s">
        <v>688</v>
      </c>
    </row>
    <row r="2495" spans="1:7">
      <c r="A2495" s="197" t="s">
        <v>364</v>
      </c>
      <c r="B2495" s="198">
        <v>-206</v>
      </c>
      <c r="C2495" s="198">
        <v>0</v>
      </c>
      <c r="D2495" s="197" t="s">
        <v>282</v>
      </c>
      <c r="E2495" s="197" t="s">
        <v>447</v>
      </c>
      <c r="F2495" s="197" t="s">
        <v>393</v>
      </c>
      <c r="G2495" s="197" t="s">
        <v>688</v>
      </c>
    </row>
    <row r="2496" spans="1:7" hidden="1">
      <c r="A2496" s="197" t="s">
        <v>87</v>
      </c>
      <c r="B2496" s="198">
        <v>3</v>
      </c>
      <c r="C2496" s="198">
        <v>0</v>
      </c>
      <c r="D2496" s="197" t="s">
        <v>283</v>
      </c>
      <c r="E2496" s="197" t="s">
        <v>317</v>
      </c>
      <c r="F2496" s="197" t="s">
        <v>394</v>
      </c>
      <c r="G2496" s="197" t="s">
        <v>688</v>
      </c>
    </row>
    <row r="2497" spans="1:7" hidden="1">
      <c r="A2497" s="197" t="s">
        <v>87</v>
      </c>
      <c r="B2497" s="198">
        <v>-3</v>
      </c>
      <c r="C2497" s="198">
        <v>0</v>
      </c>
      <c r="D2497" s="197" t="s">
        <v>283</v>
      </c>
      <c r="E2497" s="197" t="s">
        <v>317</v>
      </c>
      <c r="F2497" s="197" t="s">
        <v>441</v>
      </c>
      <c r="G2497" s="197" t="s">
        <v>688</v>
      </c>
    </row>
    <row r="2498" spans="1:7">
      <c r="A2498" s="197" t="s">
        <v>87</v>
      </c>
      <c r="B2498" s="198">
        <v>677</v>
      </c>
      <c r="C2498" s="198">
        <v>0</v>
      </c>
      <c r="D2498" s="197" t="s">
        <v>282</v>
      </c>
      <c r="E2498" s="197" t="s">
        <v>317</v>
      </c>
      <c r="F2498" s="197" t="s">
        <v>394</v>
      </c>
      <c r="G2498" s="197" t="s">
        <v>688</v>
      </c>
    </row>
    <row r="2499" spans="1:7">
      <c r="A2499" s="197" t="s">
        <v>87</v>
      </c>
      <c r="B2499" s="198">
        <v>-232</v>
      </c>
      <c r="C2499" s="198">
        <v>0</v>
      </c>
      <c r="D2499" s="197" t="s">
        <v>282</v>
      </c>
      <c r="E2499" s="197" t="s">
        <v>317</v>
      </c>
      <c r="F2499" s="197" t="s">
        <v>393</v>
      </c>
      <c r="G2499" s="197" t="s">
        <v>688</v>
      </c>
    </row>
    <row r="2500" spans="1:7">
      <c r="A2500" s="197" t="s">
        <v>87</v>
      </c>
      <c r="B2500" s="198">
        <v>-49</v>
      </c>
      <c r="C2500" s="198">
        <v>0</v>
      </c>
      <c r="D2500" s="197" t="s">
        <v>282</v>
      </c>
      <c r="E2500" s="197" t="s">
        <v>317</v>
      </c>
      <c r="F2500" s="197" t="s">
        <v>413</v>
      </c>
      <c r="G2500" s="197" t="s">
        <v>688</v>
      </c>
    </row>
    <row r="2501" spans="1:7">
      <c r="A2501" s="197" t="s">
        <v>87</v>
      </c>
      <c r="B2501" s="198">
        <v>-399</v>
      </c>
      <c r="C2501" s="198">
        <v>0</v>
      </c>
      <c r="D2501" s="197" t="s">
        <v>282</v>
      </c>
      <c r="E2501" s="197" t="s">
        <v>317</v>
      </c>
      <c r="F2501" s="197" t="s">
        <v>403</v>
      </c>
      <c r="G2501" s="197" t="s">
        <v>688</v>
      </c>
    </row>
    <row r="2502" spans="1:7">
      <c r="A2502" s="197" t="s">
        <v>87</v>
      </c>
      <c r="B2502" s="198">
        <v>3</v>
      </c>
      <c r="C2502" s="198">
        <v>0</v>
      </c>
      <c r="D2502" s="197" t="s">
        <v>282</v>
      </c>
      <c r="E2502" s="197" t="s">
        <v>317</v>
      </c>
      <c r="F2502" s="197" t="s">
        <v>441</v>
      </c>
      <c r="G2502" s="197" t="s">
        <v>688</v>
      </c>
    </row>
    <row r="2503" spans="1:7" hidden="1">
      <c r="A2503" s="197" t="s">
        <v>677</v>
      </c>
      <c r="B2503" s="198">
        <v>114626</v>
      </c>
      <c r="C2503" s="198">
        <v>0</v>
      </c>
      <c r="D2503" s="197" t="s">
        <v>440</v>
      </c>
      <c r="E2503" s="197" t="s">
        <v>39</v>
      </c>
      <c r="F2503" s="197" t="s">
        <v>394</v>
      </c>
      <c r="G2503" s="197" t="s">
        <v>688</v>
      </c>
    </row>
    <row r="2504" spans="1:7" hidden="1">
      <c r="A2504" s="197" t="s">
        <v>677</v>
      </c>
      <c r="B2504" s="198">
        <v>-11250</v>
      </c>
      <c r="C2504" s="198">
        <v>0</v>
      </c>
      <c r="D2504" s="197" t="s">
        <v>440</v>
      </c>
      <c r="E2504" s="197" t="s">
        <v>39</v>
      </c>
      <c r="F2504" s="197" t="s">
        <v>441</v>
      </c>
      <c r="G2504" s="197" t="s">
        <v>688</v>
      </c>
    </row>
    <row r="2505" spans="1:7" hidden="1">
      <c r="A2505" s="197" t="s">
        <v>677</v>
      </c>
      <c r="B2505" s="198">
        <v>-11250</v>
      </c>
      <c r="C2505" s="198">
        <v>0</v>
      </c>
      <c r="D2505" s="197" t="s">
        <v>437</v>
      </c>
      <c r="E2505" s="197" t="s">
        <v>39</v>
      </c>
      <c r="F2505" s="197" t="s">
        <v>394</v>
      </c>
      <c r="G2505" s="197" t="s">
        <v>688</v>
      </c>
    </row>
    <row r="2506" spans="1:7" hidden="1">
      <c r="A2506" s="197" t="s">
        <v>677</v>
      </c>
      <c r="B2506" s="198">
        <v>11250</v>
      </c>
      <c r="C2506" s="198">
        <v>0</v>
      </c>
      <c r="D2506" s="197" t="s">
        <v>437</v>
      </c>
      <c r="E2506" s="197" t="s">
        <v>39</v>
      </c>
      <c r="F2506" s="197" t="s">
        <v>441</v>
      </c>
      <c r="G2506" s="197" t="s">
        <v>688</v>
      </c>
    </row>
    <row r="2507" spans="1:7" hidden="1">
      <c r="A2507" s="197" t="s">
        <v>1662</v>
      </c>
      <c r="B2507" s="198">
        <v>283000</v>
      </c>
      <c r="C2507" s="198">
        <v>0</v>
      </c>
      <c r="D2507" s="197" t="s">
        <v>440</v>
      </c>
      <c r="E2507" s="197" t="s">
        <v>692</v>
      </c>
      <c r="F2507" s="197" t="s">
        <v>409</v>
      </c>
      <c r="G2507" s="197" t="s">
        <v>688</v>
      </c>
    </row>
    <row r="2508" spans="1:7">
      <c r="A2508" s="197" t="s">
        <v>678</v>
      </c>
      <c r="B2508" s="198">
        <v>636</v>
      </c>
      <c r="C2508" s="198">
        <v>0</v>
      </c>
      <c r="D2508" s="197" t="s">
        <v>282</v>
      </c>
      <c r="E2508" s="197" t="s">
        <v>317</v>
      </c>
      <c r="F2508" s="197" t="s">
        <v>445</v>
      </c>
      <c r="G2508" s="197" t="s">
        <v>688</v>
      </c>
    </row>
    <row r="2509" spans="1:7">
      <c r="A2509" s="197" t="s">
        <v>678</v>
      </c>
      <c r="B2509" s="198">
        <v>-636</v>
      </c>
      <c r="C2509" s="198">
        <v>0</v>
      </c>
      <c r="D2509" s="197" t="s">
        <v>282</v>
      </c>
      <c r="E2509" s="197" t="s">
        <v>317</v>
      </c>
      <c r="F2509" s="197" t="s">
        <v>393</v>
      </c>
      <c r="G2509" s="197" t="s">
        <v>688</v>
      </c>
    </row>
    <row r="2510" spans="1:7">
      <c r="A2510" s="197" t="s">
        <v>1663</v>
      </c>
      <c r="B2510" s="198">
        <v>76</v>
      </c>
      <c r="C2510" s="198">
        <v>0</v>
      </c>
      <c r="D2510" s="197" t="s">
        <v>282</v>
      </c>
      <c r="E2510" s="197" t="s">
        <v>317</v>
      </c>
      <c r="F2510" s="197" t="s">
        <v>394</v>
      </c>
      <c r="G2510" s="197" t="s">
        <v>688</v>
      </c>
    </row>
    <row r="2511" spans="1:7">
      <c r="A2511" s="197" t="s">
        <v>1663</v>
      </c>
      <c r="B2511" s="198">
        <v>-76</v>
      </c>
      <c r="C2511" s="198">
        <v>0</v>
      </c>
      <c r="D2511" s="197" t="s">
        <v>282</v>
      </c>
      <c r="E2511" s="197" t="s">
        <v>317</v>
      </c>
      <c r="F2511" s="197" t="s">
        <v>449</v>
      </c>
      <c r="G2511" s="197" t="s">
        <v>688</v>
      </c>
    </row>
    <row r="2512" spans="1:7">
      <c r="A2512" s="197" t="s">
        <v>151</v>
      </c>
      <c r="B2512" s="198">
        <v>-1742</v>
      </c>
      <c r="C2512" s="198">
        <v>0</v>
      </c>
      <c r="D2512" s="197" t="s">
        <v>282</v>
      </c>
      <c r="E2512" s="197" t="s">
        <v>317</v>
      </c>
      <c r="F2512" s="197" t="s">
        <v>394</v>
      </c>
      <c r="G2512" s="197" t="s">
        <v>688</v>
      </c>
    </row>
    <row r="2513" spans="1:7">
      <c r="A2513" s="197" t="s">
        <v>151</v>
      </c>
      <c r="B2513" s="198">
        <v>1742</v>
      </c>
      <c r="C2513" s="198">
        <v>0</v>
      </c>
      <c r="D2513" s="197" t="s">
        <v>282</v>
      </c>
      <c r="E2513" s="197" t="s">
        <v>317</v>
      </c>
      <c r="F2513" s="197" t="s">
        <v>411</v>
      </c>
      <c r="G2513" s="197" t="s">
        <v>688</v>
      </c>
    </row>
    <row r="2514" spans="1:7" hidden="1">
      <c r="A2514" s="197" t="s">
        <v>88</v>
      </c>
      <c r="B2514" s="198">
        <v>3630</v>
      </c>
      <c r="C2514" s="198">
        <v>0</v>
      </c>
      <c r="D2514" s="197" t="s">
        <v>283</v>
      </c>
      <c r="E2514" s="197" t="s">
        <v>320</v>
      </c>
      <c r="F2514" s="197" t="s">
        <v>394</v>
      </c>
      <c r="G2514" s="197" t="s">
        <v>688</v>
      </c>
    </row>
    <row r="2515" spans="1:7" hidden="1">
      <c r="A2515" s="197" t="s">
        <v>88</v>
      </c>
      <c r="B2515" s="198">
        <v>-3630</v>
      </c>
      <c r="C2515" s="198">
        <v>0</v>
      </c>
      <c r="D2515" s="197" t="s">
        <v>283</v>
      </c>
      <c r="E2515" s="197" t="s">
        <v>320</v>
      </c>
      <c r="F2515" s="197" t="s">
        <v>441</v>
      </c>
      <c r="G2515" s="197" t="s">
        <v>688</v>
      </c>
    </row>
    <row r="2516" spans="1:7">
      <c r="A2516" s="197" t="s">
        <v>88</v>
      </c>
      <c r="B2516" s="198">
        <v>-378</v>
      </c>
      <c r="C2516" s="198">
        <v>0</v>
      </c>
      <c r="D2516" s="197" t="s">
        <v>282</v>
      </c>
      <c r="E2516" s="197" t="s">
        <v>320</v>
      </c>
      <c r="F2516" s="197" t="s">
        <v>394</v>
      </c>
      <c r="G2516" s="197" t="s">
        <v>688</v>
      </c>
    </row>
    <row r="2517" spans="1:7">
      <c r="A2517" s="197" t="s">
        <v>88</v>
      </c>
      <c r="B2517" s="198">
        <v>-3072</v>
      </c>
      <c r="C2517" s="198">
        <v>0</v>
      </c>
      <c r="D2517" s="197" t="s">
        <v>282</v>
      </c>
      <c r="E2517" s="197" t="s">
        <v>320</v>
      </c>
      <c r="F2517" s="197" t="s">
        <v>445</v>
      </c>
      <c r="G2517" s="197" t="s">
        <v>688</v>
      </c>
    </row>
    <row r="2518" spans="1:7">
      <c r="A2518" s="197" t="s">
        <v>88</v>
      </c>
      <c r="B2518" s="198">
        <v>8294</v>
      </c>
      <c r="C2518" s="198">
        <v>0</v>
      </c>
      <c r="D2518" s="197" t="s">
        <v>282</v>
      </c>
      <c r="E2518" s="197" t="s">
        <v>320</v>
      </c>
      <c r="F2518" s="197" t="s">
        <v>408</v>
      </c>
      <c r="G2518" s="197" t="s">
        <v>688</v>
      </c>
    </row>
    <row r="2519" spans="1:7">
      <c r="A2519" s="197" t="s">
        <v>88</v>
      </c>
      <c r="B2519" s="198">
        <v>-6262</v>
      </c>
      <c r="C2519" s="198">
        <v>0</v>
      </c>
      <c r="D2519" s="197" t="s">
        <v>282</v>
      </c>
      <c r="E2519" s="197" t="s">
        <v>320</v>
      </c>
      <c r="F2519" s="197" t="s">
        <v>393</v>
      </c>
      <c r="G2519" s="197" t="s">
        <v>688</v>
      </c>
    </row>
    <row r="2520" spans="1:7">
      <c r="A2520" s="197" t="s">
        <v>88</v>
      </c>
      <c r="B2520" s="198">
        <v>-2212</v>
      </c>
      <c r="C2520" s="198">
        <v>0</v>
      </c>
      <c r="D2520" s="197" t="s">
        <v>282</v>
      </c>
      <c r="E2520" s="197" t="s">
        <v>320</v>
      </c>
      <c r="F2520" s="197" t="s">
        <v>403</v>
      </c>
      <c r="G2520" s="197" t="s">
        <v>688</v>
      </c>
    </row>
    <row r="2521" spans="1:7">
      <c r="A2521" s="197" t="s">
        <v>88</v>
      </c>
      <c r="B2521" s="198">
        <v>3630</v>
      </c>
      <c r="C2521" s="198">
        <v>0</v>
      </c>
      <c r="D2521" s="197" t="s">
        <v>282</v>
      </c>
      <c r="E2521" s="197" t="s">
        <v>320</v>
      </c>
      <c r="F2521" s="197" t="s">
        <v>441</v>
      </c>
      <c r="G2521" s="197" t="s">
        <v>688</v>
      </c>
    </row>
    <row r="2522" spans="1:7" hidden="1">
      <c r="A2522" s="197" t="s">
        <v>88</v>
      </c>
      <c r="B2522" s="198">
        <v>1172</v>
      </c>
      <c r="C2522" s="198">
        <v>0</v>
      </c>
      <c r="D2522" s="197" t="s">
        <v>442</v>
      </c>
      <c r="E2522" s="197" t="s">
        <v>320</v>
      </c>
      <c r="F2522" s="197" t="s">
        <v>394</v>
      </c>
      <c r="G2522" s="197" t="s">
        <v>688</v>
      </c>
    </row>
    <row r="2523" spans="1:7" hidden="1">
      <c r="A2523" s="197" t="s">
        <v>680</v>
      </c>
      <c r="B2523" s="198">
        <v>-7</v>
      </c>
      <c r="C2523" s="198">
        <v>0</v>
      </c>
      <c r="D2523" s="197" t="s">
        <v>283</v>
      </c>
      <c r="E2523" s="197" t="s">
        <v>324</v>
      </c>
      <c r="F2523" s="197" t="s">
        <v>394</v>
      </c>
      <c r="G2523" s="197" t="s">
        <v>688</v>
      </c>
    </row>
    <row r="2524" spans="1:7" hidden="1">
      <c r="A2524" s="197" t="s">
        <v>680</v>
      </c>
      <c r="B2524" s="198">
        <v>7</v>
      </c>
      <c r="C2524" s="198">
        <v>0</v>
      </c>
      <c r="D2524" s="197" t="s">
        <v>283</v>
      </c>
      <c r="E2524" s="197" t="s">
        <v>324</v>
      </c>
      <c r="F2524" s="197" t="s">
        <v>441</v>
      </c>
      <c r="G2524" s="197" t="s">
        <v>688</v>
      </c>
    </row>
    <row r="2525" spans="1:7">
      <c r="A2525" s="197" t="s">
        <v>680</v>
      </c>
      <c r="B2525" s="198">
        <v>7</v>
      </c>
      <c r="C2525" s="198">
        <v>0</v>
      </c>
      <c r="D2525" s="197" t="s">
        <v>282</v>
      </c>
      <c r="E2525" s="197" t="s">
        <v>324</v>
      </c>
      <c r="F2525" s="197" t="s">
        <v>394</v>
      </c>
      <c r="G2525" s="197" t="s">
        <v>688</v>
      </c>
    </row>
    <row r="2526" spans="1:7">
      <c r="A2526" s="197" t="s">
        <v>680</v>
      </c>
      <c r="B2526" s="198">
        <v>15</v>
      </c>
      <c r="C2526" s="198">
        <v>0</v>
      </c>
      <c r="D2526" s="197" t="s">
        <v>282</v>
      </c>
      <c r="E2526" s="197" t="s">
        <v>324</v>
      </c>
      <c r="F2526" s="197" t="s">
        <v>408</v>
      </c>
      <c r="G2526" s="197" t="s">
        <v>688</v>
      </c>
    </row>
    <row r="2527" spans="1:7">
      <c r="A2527" s="197" t="s">
        <v>680</v>
      </c>
      <c r="B2527" s="198">
        <v>-15</v>
      </c>
      <c r="C2527" s="198">
        <v>0</v>
      </c>
      <c r="D2527" s="197" t="s">
        <v>282</v>
      </c>
      <c r="E2527" s="197" t="s">
        <v>324</v>
      </c>
      <c r="F2527" s="197" t="s">
        <v>393</v>
      </c>
      <c r="G2527" s="197" t="s">
        <v>688</v>
      </c>
    </row>
    <row r="2528" spans="1:7">
      <c r="A2528" s="197" t="s">
        <v>680</v>
      </c>
      <c r="B2528" s="198">
        <v>-7</v>
      </c>
      <c r="C2528" s="198">
        <v>0</v>
      </c>
      <c r="D2528" s="197" t="s">
        <v>282</v>
      </c>
      <c r="E2528" s="197" t="s">
        <v>324</v>
      </c>
      <c r="F2528" s="197" t="s">
        <v>441</v>
      </c>
      <c r="G2528" s="197" t="s">
        <v>688</v>
      </c>
    </row>
    <row r="2529" spans="1:7" hidden="1">
      <c r="A2529" s="197" t="s">
        <v>681</v>
      </c>
      <c r="B2529" s="198">
        <v>-37</v>
      </c>
      <c r="C2529" s="198">
        <v>0</v>
      </c>
      <c r="D2529" s="197" t="s">
        <v>283</v>
      </c>
      <c r="E2529" s="197" t="s">
        <v>324</v>
      </c>
      <c r="F2529" s="197" t="s">
        <v>394</v>
      </c>
      <c r="G2529" s="197" t="s">
        <v>688</v>
      </c>
    </row>
    <row r="2530" spans="1:7" hidden="1">
      <c r="A2530" s="197" t="s">
        <v>681</v>
      </c>
      <c r="B2530" s="198">
        <v>37</v>
      </c>
      <c r="C2530" s="198">
        <v>0</v>
      </c>
      <c r="D2530" s="197" t="s">
        <v>283</v>
      </c>
      <c r="E2530" s="197" t="s">
        <v>324</v>
      </c>
      <c r="F2530" s="197" t="s">
        <v>441</v>
      </c>
      <c r="G2530" s="197" t="s">
        <v>688</v>
      </c>
    </row>
    <row r="2531" spans="1:7">
      <c r="A2531" s="197" t="s">
        <v>681</v>
      </c>
      <c r="B2531" s="198">
        <v>94</v>
      </c>
      <c r="C2531" s="198">
        <v>0</v>
      </c>
      <c r="D2531" s="197" t="s">
        <v>282</v>
      </c>
      <c r="E2531" s="197" t="s">
        <v>324</v>
      </c>
      <c r="F2531" s="197" t="s">
        <v>394</v>
      </c>
      <c r="G2531" s="197" t="s">
        <v>688</v>
      </c>
    </row>
    <row r="2532" spans="1:7">
      <c r="A2532" s="197" t="s">
        <v>681</v>
      </c>
      <c r="B2532" s="198">
        <v>-98</v>
      </c>
      <c r="C2532" s="198">
        <v>0</v>
      </c>
      <c r="D2532" s="197" t="s">
        <v>282</v>
      </c>
      <c r="E2532" s="197" t="s">
        <v>324</v>
      </c>
      <c r="F2532" s="197" t="s">
        <v>408</v>
      </c>
      <c r="G2532" s="197" t="s">
        <v>688</v>
      </c>
    </row>
    <row r="2533" spans="1:7">
      <c r="A2533" s="197" t="s">
        <v>681</v>
      </c>
      <c r="B2533" s="198">
        <v>41</v>
      </c>
      <c r="C2533" s="198">
        <v>0</v>
      </c>
      <c r="D2533" s="197" t="s">
        <v>282</v>
      </c>
      <c r="E2533" s="197" t="s">
        <v>324</v>
      </c>
      <c r="F2533" s="197" t="s">
        <v>393</v>
      </c>
      <c r="G2533" s="197" t="s">
        <v>688</v>
      </c>
    </row>
    <row r="2534" spans="1:7">
      <c r="A2534" s="197" t="s">
        <v>681</v>
      </c>
      <c r="B2534" s="198">
        <v>-37</v>
      </c>
      <c r="C2534" s="198">
        <v>0</v>
      </c>
      <c r="D2534" s="197" t="s">
        <v>282</v>
      </c>
      <c r="E2534" s="197" t="s">
        <v>324</v>
      </c>
      <c r="F2534" s="197" t="s">
        <v>441</v>
      </c>
      <c r="G2534" s="197" t="s">
        <v>688</v>
      </c>
    </row>
    <row r="2535" spans="1:7" hidden="1">
      <c r="A2535" s="197" t="s">
        <v>682</v>
      </c>
      <c r="B2535" s="198">
        <v>110</v>
      </c>
      <c r="C2535" s="198">
        <v>0</v>
      </c>
      <c r="D2535" s="197" t="s">
        <v>437</v>
      </c>
      <c r="E2535" s="197" t="s">
        <v>324</v>
      </c>
      <c r="F2535" s="197" t="s">
        <v>394</v>
      </c>
      <c r="G2535" s="197" t="s">
        <v>688</v>
      </c>
    </row>
    <row r="2536" spans="1:7" hidden="1">
      <c r="A2536" s="197" t="s">
        <v>4</v>
      </c>
      <c r="B2536" s="198">
        <v>-776</v>
      </c>
      <c r="C2536" s="198">
        <v>0</v>
      </c>
      <c r="D2536" s="197" t="s">
        <v>442</v>
      </c>
      <c r="E2536" s="197" t="s">
        <v>320</v>
      </c>
      <c r="F2536" s="197" t="s">
        <v>394</v>
      </c>
      <c r="G2536" s="197" t="s">
        <v>688</v>
      </c>
    </row>
    <row r="2537" spans="1:7" hidden="1">
      <c r="A2537" s="197" t="s">
        <v>142</v>
      </c>
      <c r="B2537" s="198">
        <v>-5679</v>
      </c>
      <c r="C2537" s="198">
        <v>0</v>
      </c>
      <c r="D2537" s="197" t="s">
        <v>283</v>
      </c>
      <c r="E2537" s="197" t="s">
        <v>320</v>
      </c>
      <c r="F2537" s="197" t="s">
        <v>394</v>
      </c>
      <c r="G2537" s="197" t="s">
        <v>688</v>
      </c>
    </row>
    <row r="2538" spans="1:7" hidden="1">
      <c r="A2538" s="197" t="s">
        <v>142</v>
      </c>
      <c r="B2538" s="198">
        <v>1100</v>
      </c>
      <c r="C2538" s="198">
        <v>0</v>
      </c>
      <c r="D2538" s="197" t="s">
        <v>283</v>
      </c>
      <c r="E2538" s="197" t="s">
        <v>320</v>
      </c>
      <c r="F2538" s="197" t="s">
        <v>413</v>
      </c>
      <c r="G2538" s="197" t="s">
        <v>688</v>
      </c>
    </row>
    <row r="2539" spans="1:7" hidden="1">
      <c r="A2539" s="197" t="s">
        <v>142</v>
      </c>
      <c r="B2539" s="198">
        <v>4579</v>
      </c>
      <c r="C2539" s="198">
        <v>0</v>
      </c>
      <c r="D2539" s="197" t="s">
        <v>283</v>
      </c>
      <c r="E2539" s="197" t="s">
        <v>320</v>
      </c>
      <c r="F2539" s="197" t="s">
        <v>441</v>
      </c>
      <c r="G2539" s="197" t="s">
        <v>688</v>
      </c>
    </row>
    <row r="2540" spans="1:7">
      <c r="A2540" s="197" t="s">
        <v>142</v>
      </c>
      <c r="B2540" s="198">
        <v>8054</v>
      </c>
      <c r="C2540" s="198">
        <v>0</v>
      </c>
      <c r="D2540" s="197" t="s">
        <v>282</v>
      </c>
      <c r="E2540" s="197" t="s">
        <v>320</v>
      </c>
      <c r="F2540" s="197" t="s">
        <v>394</v>
      </c>
      <c r="G2540" s="197" t="s">
        <v>688</v>
      </c>
    </row>
    <row r="2541" spans="1:7">
      <c r="A2541" s="197" t="s">
        <v>142</v>
      </c>
      <c r="B2541" s="198">
        <v>-1256</v>
      </c>
      <c r="C2541" s="198">
        <v>0</v>
      </c>
      <c r="D2541" s="197" t="s">
        <v>282</v>
      </c>
      <c r="E2541" s="197" t="s">
        <v>320</v>
      </c>
      <c r="F2541" s="197" t="s">
        <v>393</v>
      </c>
      <c r="G2541" s="197" t="s">
        <v>688</v>
      </c>
    </row>
    <row r="2542" spans="1:7">
      <c r="A2542" s="197" t="s">
        <v>142</v>
      </c>
      <c r="B2542" s="198">
        <v>1100</v>
      </c>
      <c r="C2542" s="198">
        <v>0</v>
      </c>
      <c r="D2542" s="197" t="s">
        <v>282</v>
      </c>
      <c r="E2542" s="197" t="s">
        <v>320</v>
      </c>
      <c r="F2542" s="197" t="s">
        <v>413</v>
      </c>
      <c r="G2542" s="197" t="s">
        <v>688</v>
      </c>
    </row>
    <row r="2543" spans="1:7">
      <c r="A2543" s="197" t="s">
        <v>142</v>
      </c>
      <c r="B2543" s="198">
        <v>-3319</v>
      </c>
      <c r="C2543" s="198">
        <v>0</v>
      </c>
      <c r="D2543" s="197" t="s">
        <v>282</v>
      </c>
      <c r="E2543" s="197" t="s">
        <v>320</v>
      </c>
      <c r="F2543" s="197" t="s">
        <v>403</v>
      </c>
      <c r="G2543" s="197" t="s">
        <v>688</v>
      </c>
    </row>
    <row r="2544" spans="1:7">
      <c r="A2544" s="197" t="s">
        <v>142</v>
      </c>
      <c r="B2544" s="198">
        <v>-4579</v>
      </c>
      <c r="C2544" s="198">
        <v>0</v>
      </c>
      <c r="D2544" s="197" t="s">
        <v>282</v>
      </c>
      <c r="E2544" s="197" t="s">
        <v>320</v>
      </c>
      <c r="F2544" s="197" t="s">
        <v>441</v>
      </c>
      <c r="G2544" s="197" t="s">
        <v>688</v>
      </c>
    </row>
    <row r="2545" spans="1:7" hidden="1">
      <c r="A2545" s="197" t="s">
        <v>683</v>
      </c>
      <c r="B2545" s="198">
        <v>-1401</v>
      </c>
      <c r="C2545" s="198">
        <v>0</v>
      </c>
      <c r="D2545" s="197" t="s">
        <v>440</v>
      </c>
      <c r="E2545" s="197" t="s">
        <v>320</v>
      </c>
      <c r="F2545" s="197" t="s">
        <v>394</v>
      </c>
      <c r="G2545" s="197" t="s">
        <v>688</v>
      </c>
    </row>
    <row r="2546" spans="1:7" hidden="1">
      <c r="A2546" s="197" t="s">
        <v>683</v>
      </c>
      <c r="B2546" s="198">
        <v>590</v>
      </c>
      <c r="C2546" s="198">
        <v>0</v>
      </c>
      <c r="D2546" s="197" t="s">
        <v>440</v>
      </c>
      <c r="E2546" s="197" t="s">
        <v>320</v>
      </c>
      <c r="F2546" s="197" t="s">
        <v>441</v>
      </c>
      <c r="G2546" s="197" t="s">
        <v>688</v>
      </c>
    </row>
    <row r="2547" spans="1:7" hidden="1">
      <c r="A2547" s="197" t="s">
        <v>683</v>
      </c>
      <c r="B2547" s="198">
        <v>590</v>
      </c>
      <c r="C2547" s="198">
        <v>0</v>
      </c>
      <c r="D2547" s="197" t="s">
        <v>437</v>
      </c>
      <c r="E2547" s="197" t="s">
        <v>320</v>
      </c>
      <c r="F2547" s="197" t="s">
        <v>394</v>
      </c>
      <c r="G2547" s="197" t="s">
        <v>688</v>
      </c>
    </row>
    <row r="2548" spans="1:7" hidden="1">
      <c r="A2548" s="197" t="s">
        <v>683</v>
      </c>
      <c r="B2548" s="198">
        <v>-590</v>
      </c>
      <c r="C2548" s="198">
        <v>0</v>
      </c>
      <c r="D2548" s="197" t="s">
        <v>437</v>
      </c>
      <c r="E2548" s="197" t="s">
        <v>320</v>
      </c>
      <c r="F2548" s="197" t="s">
        <v>441</v>
      </c>
      <c r="G2548" s="197" t="s">
        <v>688</v>
      </c>
    </row>
    <row r="2549" spans="1:7" hidden="1">
      <c r="A2549" s="197" t="s">
        <v>683</v>
      </c>
      <c r="B2549" s="198">
        <v>-564</v>
      </c>
      <c r="C2549" s="198">
        <v>0</v>
      </c>
      <c r="D2549" s="197" t="s">
        <v>442</v>
      </c>
      <c r="E2549" s="197" t="s">
        <v>320</v>
      </c>
      <c r="F2549" s="197" t="s">
        <v>394</v>
      </c>
      <c r="G2549" s="197" t="s">
        <v>688</v>
      </c>
    </row>
    <row r="2550" spans="1:7" hidden="1">
      <c r="A2550" s="197" t="s">
        <v>684</v>
      </c>
      <c r="B2550" s="198">
        <v>-38</v>
      </c>
      <c r="C2550" s="198">
        <v>0</v>
      </c>
      <c r="D2550" s="197" t="s">
        <v>440</v>
      </c>
      <c r="E2550" s="197" t="s">
        <v>324</v>
      </c>
      <c r="F2550" s="197" t="s">
        <v>394</v>
      </c>
      <c r="G2550" s="197" t="s">
        <v>688</v>
      </c>
    </row>
    <row r="2551" spans="1:7" hidden="1">
      <c r="A2551" s="197" t="s">
        <v>685</v>
      </c>
      <c r="B2551" s="198">
        <v>38</v>
      </c>
      <c r="C2551" s="198">
        <v>0</v>
      </c>
      <c r="D2551" s="197" t="s">
        <v>440</v>
      </c>
      <c r="E2551" s="197" t="s">
        <v>324</v>
      </c>
      <c r="F2551" s="197" t="s">
        <v>394</v>
      </c>
      <c r="G2551" s="197" t="s">
        <v>688</v>
      </c>
    </row>
    <row r="2552" spans="1:7" hidden="1">
      <c r="A2552" s="197" t="s">
        <v>686</v>
      </c>
      <c r="B2552" s="198">
        <v>38</v>
      </c>
      <c r="C2552" s="198">
        <v>0</v>
      </c>
      <c r="D2552" s="197" t="s">
        <v>440</v>
      </c>
      <c r="E2552" s="197" t="s">
        <v>324</v>
      </c>
      <c r="F2552" s="197" t="s">
        <v>394</v>
      </c>
      <c r="G2552" s="197" t="s">
        <v>688</v>
      </c>
    </row>
    <row r="2553" spans="1:7" hidden="1">
      <c r="A2553" s="197" t="s">
        <v>402</v>
      </c>
      <c r="B2553" s="198">
        <v>44552</v>
      </c>
      <c r="C2553" s="198">
        <v>0</v>
      </c>
      <c r="D2553" s="197" t="s">
        <v>440</v>
      </c>
      <c r="E2553" s="197" t="s">
        <v>317</v>
      </c>
      <c r="F2553" s="197" t="s">
        <v>394</v>
      </c>
      <c r="G2553" s="197" t="s">
        <v>688</v>
      </c>
    </row>
    <row r="2554" spans="1:7" hidden="1">
      <c r="A2554" s="197" t="s">
        <v>402</v>
      </c>
      <c r="B2554" s="198">
        <v>-5630</v>
      </c>
      <c r="C2554" s="198">
        <v>0</v>
      </c>
      <c r="D2554" s="197" t="s">
        <v>440</v>
      </c>
      <c r="E2554" s="197" t="s">
        <v>317</v>
      </c>
      <c r="F2554" s="197" t="s">
        <v>673</v>
      </c>
      <c r="G2554" s="197" t="s">
        <v>688</v>
      </c>
    </row>
    <row r="2555" spans="1:7" hidden="1">
      <c r="A2555" s="197" t="s">
        <v>402</v>
      </c>
      <c r="B2555" s="198">
        <v>-1582</v>
      </c>
      <c r="C2555" s="198">
        <v>0</v>
      </c>
      <c r="D2555" s="197" t="s">
        <v>440</v>
      </c>
      <c r="E2555" s="197" t="s">
        <v>317</v>
      </c>
      <c r="F2555" s="197" t="s">
        <v>393</v>
      </c>
      <c r="G2555" s="197" t="s">
        <v>688</v>
      </c>
    </row>
    <row r="2556" spans="1:7" hidden="1">
      <c r="A2556" s="197" t="s">
        <v>402</v>
      </c>
      <c r="B2556" s="198">
        <v>-5740</v>
      </c>
      <c r="C2556" s="198">
        <v>0</v>
      </c>
      <c r="D2556" s="197" t="s">
        <v>440</v>
      </c>
      <c r="E2556" s="197" t="s">
        <v>317</v>
      </c>
      <c r="F2556" s="197" t="s">
        <v>410</v>
      </c>
      <c r="G2556" s="197" t="s">
        <v>688</v>
      </c>
    </row>
    <row r="2557" spans="1:7" hidden="1">
      <c r="A2557" s="197" t="s">
        <v>402</v>
      </c>
      <c r="B2557" s="198">
        <v>-1740</v>
      </c>
      <c r="C2557" s="198">
        <v>0</v>
      </c>
      <c r="D2557" s="197" t="s">
        <v>440</v>
      </c>
      <c r="E2557" s="197" t="s">
        <v>317</v>
      </c>
      <c r="F2557" s="197" t="s">
        <v>407</v>
      </c>
      <c r="G2557" s="197" t="s">
        <v>688</v>
      </c>
    </row>
    <row r="2558" spans="1:7" hidden="1">
      <c r="A2558" s="197" t="s">
        <v>402</v>
      </c>
      <c r="B2558" s="198">
        <v>-7693</v>
      </c>
      <c r="C2558" s="198">
        <v>0</v>
      </c>
      <c r="D2558" s="197" t="s">
        <v>440</v>
      </c>
      <c r="E2558" s="197" t="s">
        <v>317</v>
      </c>
      <c r="F2558" s="197" t="s">
        <v>411</v>
      </c>
      <c r="G2558" s="197" t="s">
        <v>688</v>
      </c>
    </row>
    <row r="2559" spans="1:7" hidden="1">
      <c r="A2559" s="197" t="s">
        <v>402</v>
      </c>
      <c r="B2559" s="198">
        <v>2576</v>
      </c>
      <c r="C2559" s="198">
        <v>0</v>
      </c>
      <c r="D2559" s="197" t="s">
        <v>442</v>
      </c>
      <c r="E2559" s="197" t="s">
        <v>317</v>
      </c>
      <c r="F2559" s="197" t="s">
        <v>394</v>
      </c>
      <c r="G2559" s="197" t="s">
        <v>688</v>
      </c>
    </row>
    <row r="2560" spans="1:7" hidden="1">
      <c r="A2560" s="197" t="s">
        <v>402</v>
      </c>
      <c r="B2560" s="198">
        <v>-15671</v>
      </c>
      <c r="C2560" s="198">
        <v>0</v>
      </c>
      <c r="D2560" s="197" t="s">
        <v>474</v>
      </c>
      <c r="E2560" s="197" t="s">
        <v>317</v>
      </c>
      <c r="F2560" s="197" t="s">
        <v>394</v>
      </c>
      <c r="G2560" s="197" t="s">
        <v>688</v>
      </c>
    </row>
    <row r="2561" spans="1:7" hidden="1">
      <c r="A2561" s="197" t="s">
        <v>401</v>
      </c>
      <c r="B2561" s="198">
        <v>-950</v>
      </c>
      <c r="C2561" s="198">
        <v>0</v>
      </c>
      <c r="D2561" s="197" t="s">
        <v>442</v>
      </c>
      <c r="E2561" s="197" t="s">
        <v>320</v>
      </c>
      <c r="F2561" s="197" t="s">
        <v>394</v>
      </c>
      <c r="G2561" s="197" t="s">
        <v>688</v>
      </c>
    </row>
    <row r="2562" spans="1:7">
      <c r="A2562" s="197" t="s">
        <v>365</v>
      </c>
      <c r="B2562" s="198">
        <v>6365</v>
      </c>
      <c r="C2562" s="198">
        <v>0</v>
      </c>
      <c r="D2562" s="197" t="s">
        <v>282</v>
      </c>
      <c r="E2562" s="197" t="s">
        <v>687</v>
      </c>
      <c r="F2562" s="197" t="s">
        <v>394</v>
      </c>
      <c r="G2562" s="197" t="s">
        <v>688</v>
      </c>
    </row>
    <row r="2563" spans="1:7">
      <c r="A2563" s="197" t="s">
        <v>365</v>
      </c>
      <c r="B2563" s="198">
        <v>-6365</v>
      </c>
      <c r="C2563" s="198">
        <v>0</v>
      </c>
      <c r="D2563" s="197" t="s">
        <v>282</v>
      </c>
      <c r="E2563" s="197" t="s">
        <v>687</v>
      </c>
      <c r="F2563" s="197" t="s">
        <v>393</v>
      </c>
      <c r="G2563" s="197" t="s">
        <v>688</v>
      </c>
    </row>
  </sheetData>
  <autoFilter ref="A1:O2563" xr:uid="{A1628C62-EDF1-407F-8222-CB6F85E676AD}">
    <filterColumn colId="3">
      <filters>
        <filter val="EQTY.IntlUS.off"/>
      </filters>
    </filterColumn>
  </autoFilter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D71FC-500B-4D1B-880B-C04D9D09B9D2}">
  <sheetPr codeName="Sheet26"/>
  <dimension ref="A1:W165"/>
  <sheetViews>
    <sheetView workbookViewId="0">
      <selection activeCell="A33" sqref="A33"/>
    </sheetView>
  </sheetViews>
  <sheetFormatPr defaultRowHeight="15"/>
  <cols>
    <col min="1" max="1" width="10.42578125" bestFit="1" customWidth="1"/>
    <col min="2" max="2" width="14.140625" bestFit="1" customWidth="1"/>
    <col min="3" max="3" width="33.42578125" customWidth="1"/>
    <col min="4" max="4" width="30.7109375" bestFit="1" customWidth="1"/>
    <col min="5" max="5" width="10.85546875" bestFit="1" customWidth="1"/>
    <col min="7" max="7" width="16.42578125" bestFit="1" customWidth="1"/>
    <col min="18" max="18" width="36" bestFit="1" customWidth="1"/>
    <col min="20" max="20" width="15.42578125" bestFit="1" customWidth="1"/>
    <col min="21" max="21" width="15.42578125" customWidth="1"/>
    <col min="22" max="22" width="11.28515625" bestFit="1" customWidth="1"/>
  </cols>
  <sheetData>
    <row r="1" spans="1:23">
      <c r="A1" s="322" t="s">
        <v>1664</v>
      </c>
      <c r="B1" s="322" t="s">
        <v>313</v>
      </c>
      <c r="C1" s="322" t="s">
        <v>1665</v>
      </c>
      <c r="D1" s="322" t="s">
        <v>174</v>
      </c>
      <c r="E1" s="322" t="s">
        <v>152</v>
      </c>
      <c r="F1" s="322" t="s">
        <v>398</v>
      </c>
      <c r="G1" t="s">
        <v>1684</v>
      </c>
      <c r="R1" t="s">
        <v>1670</v>
      </c>
      <c r="S1" t="s">
        <v>1682</v>
      </c>
      <c r="T1" t="s">
        <v>1683</v>
      </c>
      <c r="U1" t="s">
        <v>1692</v>
      </c>
      <c r="V1" t="s">
        <v>1671</v>
      </c>
      <c r="W1" t="s">
        <v>398</v>
      </c>
    </row>
    <row r="2" spans="1:23">
      <c r="A2" s="323">
        <v>45840</v>
      </c>
      <c r="B2" s="324" t="s">
        <v>282</v>
      </c>
      <c r="C2" s="324" t="s">
        <v>327</v>
      </c>
      <c r="D2" s="324" t="s">
        <v>1734</v>
      </c>
      <c r="E2" s="325">
        <v>-2009465</v>
      </c>
      <c r="F2" s="324">
        <v>-1.78</v>
      </c>
      <c r="G2" s="261">
        <f>+E2/F2*10000</f>
        <v>11289129213.483145</v>
      </c>
      <c r="R2" t="str">
        <f>D2</f>
        <v>TSM US 10/17/25 C230</v>
      </c>
      <c r="S2">
        <f>VLOOKUP(R2,$D$2:$F$156,2,FALSE)</f>
        <v>-2009465</v>
      </c>
      <c r="T2" s="262">
        <f>IF(R2="","",IF(LEN(R2)&gt;9,SUMIFS(Options!$AZ$3:$AZ$32,Options!$B$3:$B$32,'Check result'!R2),SUMIFS('Master P&amp;L'!$AE$11:$AE$106,'Master P&amp;L'!$B$11:$B$106,'Check result'!R2)))</f>
        <v>0</v>
      </c>
      <c r="U2" s="262">
        <f>T2/2</f>
        <v>0</v>
      </c>
      <c r="V2" s="261">
        <f>+S2-U2</f>
        <v>-2009465</v>
      </c>
      <c r="W2">
        <f>+V2/G2*10000</f>
        <v>-1.7800000000000002</v>
      </c>
    </row>
    <row r="3" spans="1:23">
      <c r="A3" s="323">
        <v>45840</v>
      </c>
      <c r="B3" s="324" t="s">
        <v>282</v>
      </c>
      <c r="C3" s="324" t="s">
        <v>327</v>
      </c>
      <c r="D3" s="324" t="s">
        <v>1830</v>
      </c>
      <c r="E3" s="325">
        <v>-754078</v>
      </c>
      <c r="F3" s="324">
        <v>-0.67</v>
      </c>
      <c r="G3" s="261">
        <f t="shared" ref="G3:G66" si="0">+E3/F3*10000</f>
        <v>11254895522.38806</v>
      </c>
      <c r="R3" t="str">
        <f t="shared" ref="R3:R66" si="1">D3</f>
        <v>TSM US 07/18/25 C240</v>
      </c>
      <c r="S3">
        <f t="shared" ref="S3:S66" si="2">VLOOKUP(R3,$D$2:$F$156,2,FALSE)</f>
        <v>-754078</v>
      </c>
      <c r="T3" s="262">
        <f>IF(R3="","",IF(LEN(R3)&gt;9,SUMIFS(Options!$AZ$3:$AZ$32,Options!$B$3:$B$32,'Check result'!R3),SUMIFS('Master P&amp;L'!$AE$11:$AE$106,'Master P&amp;L'!$B$11:$B$106,'Check result'!R3)))</f>
        <v>0</v>
      </c>
      <c r="U3" s="262">
        <f t="shared" ref="U3:U66" si="3">T3/2</f>
        <v>0</v>
      </c>
      <c r="V3" s="261">
        <f t="shared" ref="V3:V66" si="4">+S3-U3</f>
        <v>-754078</v>
      </c>
      <c r="W3">
        <f t="shared" ref="W3:W66" si="5">+V3/G3*10000</f>
        <v>-0.67</v>
      </c>
    </row>
    <row r="4" spans="1:23">
      <c r="A4" s="323">
        <v>45840</v>
      </c>
      <c r="B4" s="324" t="s">
        <v>282</v>
      </c>
      <c r="C4" s="324" t="s">
        <v>319</v>
      </c>
      <c r="D4" s="324" t="s">
        <v>1806</v>
      </c>
      <c r="E4" s="325">
        <v>-662125</v>
      </c>
      <c r="F4" s="324">
        <v>-0.59</v>
      </c>
      <c r="G4" s="261">
        <f t="shared" si="0"/>
        <v>11222457627.118645</v>
      </c>
      <c r="R4" t="str">
        <f t="shared" si="1"/>
        <v>HOOD US 07/18/25 C100</v>
      </c>
      <c r="S4">
        <f t="shared" si="2"/>
        <v>-662125</v>
      </c>
      <c r="T4" s="262">
        <f>IF(R4="","",IF(LEN(R4)&gt;9,SUMIFS(Options!$AZ$3:$AZ$32,Options!$B$3:$B$32,'Check result'!R4),SUMIFS('Master P&amp;L'!$AE$11:$AE$106,'Master P&amp;L'!$B$11:$B$106,'Check result'!R4)))</f>
        <v>0</v>
      </c>
      <c r="U4" s="262">
        <f t="shared" si="3"/>
        <v>0</v>
      </c>
      <c r="V4" s="261">
        <f t="shared" si="4"/>
        <v>-662125</v>
      </c>
      <c r="W4">
        <f t="shared" si="5"/>
        <v>-0.59</v>
      </c>
    </row>
    <row r="5" spans="1:23">
      <c r="A5" s="323">
        <v>45840</v>
      </c>
      <c r="B5" s="324" t="s">
        <v>282</v>
      </c>
      <c r="C5" s="324" t="s">
        <v>319</v>
      </c>
      <c r="D5" s="324" t="s">
        <v>1739</v>
      </c>
      <c r="E5" s="325">
        <v>-621079</v>
      </c>
      <c r="F5" s="324">
        <v>-0.55000000000000004</v>
      </c>
      <c r="G5" s="261">
        <f t="shared" si="0"/>
        <v>11292345454.545454</v>
      </c>
      <c r="R5" t="str">
        <f t="shared" si="1"/>
        <v>NVDA US 07/18/25 C155</v>
      </c>
      <c r="S5">
        <f t="shared" si="2"/>
        <v>-621079</v>
      </c>
      <c r="T5" s="262">
        <f>IF(R5="","",IF(LEN(R5)&gt;9,SUMIFS(Options!$AZ$3:$AZ$32,Options!$B$3:$B$32,'Check result'!R5),SUMIFS('Master P&amp;L'!$AE$11:$AE$106,'Master P&amp;L'!$B$11:$B$106,'Check result'!R5)))</f>
        <v>0</v>
      </c>
      <c r="U5" s="262">
        <f t="shared" si="3"/>
        <v>0</v>
      </c>
      <c r="V5" s="261">
        <f t="shared" si="4"/>
        <v>-621079</v>
      </c>
      <c r="W5">
        <f t="shared" si="5"/>
        <v>-0.55000000000000004</v>
      </c>
    </row>
    <row r="6" spans="1:23">
      <c r="A6" s="323">
        <v>45840</v>
      </c>
      <c r="B6" s="324" t="s">
        <v>282</v>
      </c>
      <c r="C6" s="324" t="s">
        <v>39</v>
      </c>
      <c r="D6" s="324" t="s">
        <v>1680</v>
      </c>
      <c r="E6" s="325">
        <v>-396008</v>
      </c>
      <c r="F6" s="324">
        <v>-0.35</v>
      </c>
      <c r="G6" s="261">
        <f t="shared" si="0"/>
        <v>11314514285.714287</v>
      </c>
      <c r="R6" t="str">
        <f t="shared" si="1"/>
        <v>TTE</v>
      </c>
      <c r="S6">
        <f t="shared" si="2"/>
        <v>-396008</v>
      </c>
      <c r="T6" s="262">
        <f>IF(R6="","",IF(LEN(R6)&gt;9,SUMIFS(Options!$AZ$3:$AZ$32,Options!$B$3:$B$32,'Check result'!R6),SUMIFS('Master P&amp;L'!$AE$11:$AE$106,'Master P&amp;L'!$B$11:$B$106,'Check result'!R6)))</f>
        <v>0</v>
      </c>
      <c r="U6" s="262">
        <f t="shared" si="3"/>
        <v>0</v>
      </c>
      <c r="V6" s="261">
        <f t="shared" si="4"/>
        <v>-396008</v>
      </c>
      <c r="W6">
        <f t="shared" si="5"/>
        <v>-0.35</v>
      </c>
    </row>
    <row r="7" spans="1:23">
      <c r="A7" s="323">
        <v>45840</v>
      </c>
      <c r="B7" s="324" t="s">
        <v>282</v>
      </c>
      <c r="C7" s="324" t="s">
        <v>319</v>
      </c>
      <c r="D7" s="324" t="s">
        <v>1722</v>
      </c>
      <c r="E7" s="325">
        <v>-380764</v>
      </c>
      <c r="F7" s="324">
        <v>-0.34</v>
      </c>
      <c r="G7" s="261">
        <f t="shared" si="0"/>
        <v>11198941176.470589</v>
      </c>
      <c r="R7" t="str">
        <f t="shared" si="1"/>
        <v>NVDA US 07/18/25 C160</v>
      </c>
      <c r="S7">
        <f t="shared" si="2"/>
        <v>-380764</v>
      </c>
      <c r="T7" s="262">
        <f>IF(R7="","",IF(LEN(R7)&gt;9,SUMIFS(Options!$AZ$3:$AZ$32,Options!$B$3:$B$32,'Check result'!R7),SUMIFS('Master P&amp;L'!$AE$11:$AE$106,'Master P&amp;L'!$B$11:$B$106,'Check result'!R7)))</f>
        <v>0</v>
      </c>
      <c r="U7" s="262">
        <f t="shared" si="3"/>
        <v>0</v>
      </c>
      <c r="V7" s="261">
        <f t="shared" si="4"/>
        <v>-380764</v>
      </c>
      <c r="W7">
        <f t="shared" si="5"/>
        <v>-0.34</v>
      </c>
    </row>
    <row r="8" spans="1:23">
      <c r="A8" s="323">
        <v>45840</v>
      </c>
      <c r="B8" s="324" t="s">
        <v>282</v>
      </c>
      <c r="C8" s="324" t="s">
        <v>39</v>
      </c>
      <c r="D8" s="324" t="s">
        <v>96</v>
      </c>
      <c r="E8" s="325">
        <v>-347251</v>
      </c>
      <c r="F8" s="324">
        <v>-0.31</v>
      </c>
      <c r="G8" s="261">
        <f t="shared" si="0"/>
        <v>11201645161.290323</v>
      </c>
      <c r="R8" t="str">
        <f t="shared" si="1"/>
        <v>TSM</v>
      </c>
      <c r="S8">
        <f t="shared" si="2"/>
        <v>-347251</v>
      </c>
      <c r="T8" s="262">
        <f>IF(R8="","",IF(LEN(R8)&gt;9,SUMIFS(Options!$AZ$3:$AZ$32,Options!$B$3:$B$32,'Check result'!R8),SUMIFS('Master P&amp;L'!$AE$11:$AE$106,'Master P&amp;L'!$B$11:$B$106,'Check result'!R8)))</f>
        <v>0</v>
      </c>
      <c r="U8" s="262">
        <f t="shared" si="3"/>
        <v>0</v>
      </c>
      <c r="V8" s="261">
        <f t="shared" si="4"/>
        <v>-347251</v>
      </c>
      <c r="W8">
        <f t="shared" si="5"/>
        <v>-0.31</v>
      </c>
    </row>
    <row r="9" spans="1:23">
      <c r="A9" s="323">
        <v>45840</v>
      </c>
      <c r="B9" s="324" t="s">
        <v>282</v>
      </c>
      <c r="C9" s="324" t="s">
        <v>317</v>
      </c>
      <c r="D9" s="324" t="s">
        <v>1740</v>
      </c>
      <c r="E9" s="325">
        <v>-317791</v>
      </c>
      <c r="F9" s="324">
        <v>-0.28000000000000003</v>
      </c>
      <c r="G9" s="261">
        <f t="shared" si="0"/>
        <v>11349678571.42857</v>
      </c>
      <c r="R9" t="str">
        <f t="shared" si="1"/>
        <v>HOOD</v>
      </c>
      <c r="S9">
        <f t="shared" si="2"/>
        <v>-317791</v>
      </c>
      <c r="T9" s="262">
        <f>IF(R9="","",IF(LEN(R9)&gt;9,SUMIFS(Options!$AZ$3:$AZ$32,Options!$B$3:$B$32,'Check result'!R9),SUMIFS('Master P&amp;L'!$AE$11:$AE$106,'Master P&amp;L'!$B$11:$B$106,'Check result'!R9)))</f>
        <v>0</v>
      </c>
      <c r="U9" s="262">
        <f t="shared" si="3"/>
        <v>0</v>
      </c>
      <c r="V9" s="261">
        <f t="shared" si="4"/>
        <v>-317791</v>
      </c>
      <c r="W9">
        <f t="shared" si="5"/>
        <v>-0.28000000000000003</v>
      </c>
    </row>
    <row r="10" spans="1:23">
      <c r="A10" s="323">
        <v>45840</v>
      </c>
      <c r="B10" s="324" t="s">
        <v>282</v>
      </c>
      <c r="C10" s="324" t="s">
        <v>324</v>
      </c>
      <c r="D10" s="324" t="s">
        <v>1832</v>
      </c>
      <c r="E10" s="325">
        <v>-203405</v>
      </c>
      <c r="F10" s="324">
        <v>-0.18</v>
      </c>
      <c r="G10" s="261">
        <f t="shared" si="0"/>
        <v>11300277777.777777</v>
      </c>
      <c r="R10" t="str">
        <f t="shared" si="1"/>
        <v>QQQ US 07/03/25 P546</v>
      </c>
      <c r="S10">
        <f t="shared" si="2"/>
        <v>-203405</v>
      </c>
      <c r="T10" s="262">
        <f>IF(R10="","",IF(LEN(R10)&gt;9,SUMIFS(Options!$AZ$3:$AZ$32,Options!$B$3:$B$32,'Check result'!R10),SUMIFS('Master P&amp;L'!$AE$11:$AE$106,'Master P&amp;L'!$B$11:$B$106,'Check result'!R10)))</f>
        <v>0</v>
      </c>
      <c r="U10" s="262">
        <f t="shared" si="3"/>
        <v>0</v>
      </c>
      <c r="V10" s="261">
        <f t="shared" si="4"/>
        <v>-203405</v>
      </c>
      <c r="W10">
        <f t="shared" si="5"/>
        <v>-0.18</v>
      </c>
    </row>
    <row r="11" spans="1:23">
      <c r="A11" s="323">
        <v>45840</v>
      </c>
      <c r="B11" s="324" t="s">
        <v>282</v>
      </c>
      <c r="C11" s="324" t="s">
        <v>324</v>
      </c>
      <c r="D11" s="324" t="s">
        <v>1709</v>
      </c>
      <c r="E11" s="325">
        <v>-189723</v>
      </c>
      <c r="F11" s="324">
        <v>-0.17</v>
      </c>
      <c r="G11" s="261">
        <f t="shared" si="0"/>
        <v>11160176470.588234</v>
      </c>
      <c r="R11" t="str">
        <f t="shared" si="1"/>
        <v>GDX US 09/19/25 C59</v>
      </c>
      <c r="S11">
        <f t="shared" si="2"/>
        <v>-189723</v>
      </c>
      <c r="T11" s="262">
        <f>IF(R11="","",IF(LEN(R11)&gt;9,SUMIFS(Options!$AZ$3:$AZ$32,Options!$B$3:$B$32,'Check result'!R11),SUMIFS('Master P&amp;L'!$AE$11:$AE$106,'Master P&amp;L'!$B$11:$B$106,'Check result'!R11)))</f>
        <v>0</v>
      </c>
      <c r="U11" s="262">
        <f t="shared" si="3"/>
        <v>0</v>
      </c>
      <c r="V11" s="261">
        <f t="shared" si="4"/>
        <v>-189723</v>
      </c>
      <c r="W11">
        <f t="shared" si="5"/>
        <v>-0.17000000000000004</v>
      </c>
    </row>
    <row r="12" spans="1:23">
      <c r="A12" s="323">
        <v>45840</v>
      </c>
      <c r="B12" s="324" t="s">
        <v>282</v>
      </c>
      <c r="C12" s="324" t="s">
        <v>317</v>
      </c>
      <c r="D12" s="324" t="s">
        <v>326</v>
      </c>
      <c r="E12" s="325">
        <v>-179126</v>
      </c>
      <c r="F12" s="324">
        <v>-0.16</v>
      </c>
      <c r="G12" s="261">
        <f t="shared" si="0"/>
        <v>11195375000</v>
      </c>
      <c r="R12" t="str">
        <f t="shared" si="1"/>
        <v>META US</v>
      </c>
      <c r="S12">
        <f t="shared" si="2"/>
        <v>-179126</v>
      </c>
      <c r="T12" s="262">
        <f>IF(R12="","",IF(LEN(R12)&gt;9,SUMIFS(Options!$AZ$3:$AZ$32,Options!$B$3:$B$32,'Check result'!R12),SUMIFS('Master P&amp;L'!$AE$11:$AE$106,'Master P&amp;L'!$B$11:$B$106,'Check result'!R12)))</f>
        <v>0</v>
      </c>
      <c r="U12" s="262">
        <f t="shared" si="3"/>
        <v>0</v>
      </c>
      <c r="V12" s="261">
        <f t="shared" si="4"/>
        <v>-179126</v>
      </c>
      <c r="W12">
        <f t="shared" si="5"/>
        <v>-0.16</v>
      </c>
    </row>
    <row r="13" spans="1:23">
      <c r="A13" s="323">
        <v>45840</v>
      </c>
      <c r="B13" s="324" t="s">
        <v>282</v>
      </c>
      <c r="C13" s="324" t="s">
        <v>324</v>
      </c>
      <c r="D13" s="324" t="s">
        <v>1724</v>
      </c>
      <c r="E13" s="325">
        <v>-173338</v>
      </c>
      <c r="F13" s="324">
        <v>-0.15</v>
      </c>
      <c r="G13" s="261">
        <f t="shared" si="0"/>
        <v>11555866666.666668</v>
      </c>
      <c r="R13" t="str">
        <f t="shared" si="1"/>
        <v>SOXX US 07/18/25 C240</v>
      </c>
      <c r="S13">
        <f t="shared" si="2"/>
        <v>-173338</v>
      </c>
      <c r="T13" s="262">
        <f>IF(R13="","",IF(LEN(R13)&gt;9,SUMIFS(Options!$AZ$3:$AZ$32,Options!$B$3:$B$32,'Check result'!R13),SUMIFS('Master P&amp;L'!$AE$11:$AE$106,'Master P&amp;L'!$B$11:$B$106,'Check result'!R13)))</f>
        <v>0</v>
      </c>
      <c r="U13" s="262">
        <f t="shared" si="3"/>
        <v>0</v>
      </c>
      <c r="V13" s="261">
        <f t="shared" si="4"/>
        <v>-173338</v>
      </c>
      <c r="W13">
        <f t="shared" si="5"/>
        <v>-0.15</v>
      </c>
    </row>
    <row r="14" spans="1:23">
      <c r="A14" s="323">
        <v>45840</v>
      </c>
      <c r="B14" s="324" t="s">
        <v>282</v>
      </c>
      <c r="C14" s="324" t="s">
        <v>324</v>
      </c>
      <c r="D14" s="324" t="s">
        <v>1787</v>
      </c>
      <c r="E14" s="325">
        <v>-172999</v>
      </c>
      <c r="F14" s="324">
        <v>-0.15</v>
      </c>
      <c r="G14" s="261">
        <f t="shared" si="0"/>
        <v>11533266666.666668</v>
      </c>
      <c r="R14" t="str">
        <f t="shared" si="1"/>
        <v>EWT US 09/19/25 C58</v>
      </c>
      <c r="S14">
        <f t="shared" si="2"/>
        <v>-172999</v>
      </c>
      <c r="T14" s="262">
        <f>IF(R14="","",IF(LEN(R14)&gt;9,SUMIFS(Options!$AZ$3:$AZ$32,Options!$B$3:$B$32,'Check result'!R14),SUMIFS('Master P&amp;L'!$AE$11:$AE$106,'Master P&amp;L'!$B$11:$B$106,'Check result'!R14)))</f>
        <v>0</v>
      </c>
      <c r="U14" s="262">
        <f t="shared" si="3"/>
        <v>0</v>
      </c>
      <c r="V14" s="261">
        <f t="shared" si="4"/>
        <v>-172999</v>
      </c>
      <c r="W14">
        <f t="shared" si="5"/>
        <v>-0.15</v>
      </c>
    </row>
    <row r="15" spans="1:23">
      <c r="A15" s="323">
        <v>45840</v>
      </c>
      <c r="B15" s="324" t="s">
        <v>282</v>
      </c>
      <c r="C15" s="324" t="s">
        <v>324</v>
      </c>
      <c r="D15" s="324" t="s">
        <v>1818</v>
      </c>
      <c r="E15" s="325">
        <v>-164934</v>
      </c>
      <c r="F15" s="324">
        <v>-0.15</v>
      </c>
      <c r="G15" s="261">
        <f t="shared" si="0"/>
        <v>10995600000</v>
      </c>
      <c r="R15" t="str">
        <f t="shared" si="1"/>
        <v>SOXX US 07/18/25 C250</v>
      </c>
      <c r="S15">
        <f t="shared" si="2"/>
        <v>-164934</v>
      </c>
      <c r="T15" s="262">
        <f>IF(R15="","",IF(LEN(R15)&gt;9,SUMIFS(Options!$AZ$3:$AZ$32,Options!$B$3:$B$32,'Check result'!R15),SUMIFS('Master P&amp;L'!$AE$11:$AE$106,'Master P&amp;L'!$B$11:$B$106,'Check result'!R15)))</f>
        <v>0</v>
      </c>
      <c r="U15" s="262">
        <f t="shared" si="3"/>
        <v>0</v>
      </c>
      <c r="V15" s="261">
        <f t="shared" si="4"/>
        <v>-164934</v>
      </c>
      <c r="W15">
        <f t="shared" si="5"/>
        <v>-0.15</v>
      </c>
    </row>
    <row r="16" spans="1:23">
      <c r="A16" s="323">
        <v>45840</v>
      </c>
      <c r="B16" s="324" t="s">
        <v>282</v>
      </c>
      <c r="C16" s="324" t="s">
        <v>319</v>
      </c>
      <c r="D16" s="324" t="s">
        <v>1814</v>
      </c>
      <c r="E16" s="325">
        <v>-161071</v>
      </c>
      <c r="F16" s="324">
        <v>-0.14000000000000001</v>
      </c>
      <c r="G16" s="261">
        <f t="shared" si="0"/>
        <v>11505071428.571426</v>
      </c>
      <c r="R16" t="str">
        <f t="shared" si="1"/>
        <v>NVDA US 07/18/25 P150</v>
      </c>
      <c r="S16">
        <f t="shared" si="2"/>
        <v>-161071</v>
      </c>
      <c r="T16" s="262">
        <f>IF(R16="","",IF(LEN(R16)&gt;9,SUMIFS(Options!$AZ$3:$AZ$32,Options!$B$3:$B$32,'Check result'!R16),SUMIFS('Master P&amp;L'!$AE$11:$AE$106,'Master P&amp;L'!$B$11:$B$106,'Check result'!R16)))</f>
        <v>0</v>
      </c>
      <c r="U16" s="262">
        <f t="shared" si="3"/>
        <v>0</v>
      </c>
      <c r="V16" s="261">
        <f t="shared" si="4"/>
        <v>-161071</v>
      </c>
      <c r="W16">
        <f t="shared" si="5"/>
        <v>-0.14000000000000004</v>
      </c>
    </row>
    <row r="17" spans="1:23">
      <c r="A17" s="323">
        <v>45840</v>
      </c>
      <c r="B17" s="324" t="s">
        <v>282</v>
      </c>
      <c r="C17" s="324" t="s">
        <v>317</v>
      </c>
      <c r="D17" s="324" t="s">
        <v>90</v>
      </c>
      <c r="E17" s="325">
        <v>-159060</v>
      </c>
      <c r="F17" s="324">
        <v>-0.14000000000000001</v>
      </c>
      <c r="G17" s="261">
        <f t="shared" si="0"/>
        <v>11361428571.42857</v>
      </c>
      <c r="R17" t="str">
        <f t="shared" si="1"/>
        <v>MSFT</v>
      </c>
      <c r="S17">
        <f t="shared" si="2"/>
        <v>-159060</v>
      </c>
      <c r="T17" s="262">
        <f>IF(R17="","",IF(LEN(R17)&gt;9,SUMIFS(Options!$AZ$3:$AZ$32,Options!$B$3:$B$32,'Check result'!R17),SUMIFS('Master P&amp;L'!$AE$11:$AE$106,'Master P&amp;L'!$B$11:$B$106,'Check result'!R17)))</f>
        <v>0</v>
      </c>
      <c r="U17" s="262">
        <f t="shared" si="3"/>
        <v>0</v>
      </c>
      <c r="V17" s="261">
        <f t="shared" si="4"/>
        <v>-159060</v>
      </c>
      <c r="W17">
        <f t="shared" si="5"/>
        <v>-0.14000000000000001</v>
      </c>
    </row>
    <row r="18" spans="1:23">
      <c r="A18" s="323">
        <v>45840</v>
      </c>
      <c r="B18" s="324" t="s">
        <v>282</v>
      </c>
      <c r="C18" s="324" t="s">
        <v>319</v>
      </c>
      <c r="D18" s="324" t="s">
        <v>1720</v>
      </c>
      <c r="E18" s="325">
        <v>-150729</v>
      </c>
      <c r="F18" s="324">
        <v>-0.13</v>
      </c>
      <c r="G18" s="261">
        <f t="shared" si="0"/>
        <v>11594538461.53846</v>
      </c>
      <c r="R18" t="str">
        <f t="shared" si="1"/>
        <v>NVDA US 07/18/25 P140</v>
      </c>
      <c r="S18">
        <f t="shared" si="2"/>
        <v>-150729</v>
      </c>
      <c r="T18" s="262">
        <f>IF(R18="","",IF(LEN(R18)&gt;9,SUMIFS(Options!$AZ$3:$AZ$32,Options!$B$3:$B$32,'Check result'!R18),SUMIFS('Master P&amp;L'!$AE$11:$AE$106,'Master P&amp;L'!$B$11:$B$106,'Check result'!R18)))</f>
        <v>0</v>
      </c>
      <c r="U18" s="262">
        <f t="shared" si="3"/>
        <v>0</v>
      </c>
      <c r="V18" s="261">
        <f t="shared" si="4"/>
        <v>-150729</v>
      </c>
      <c r="W18">
        <f t="shared" si="5"/>
        <v>-0.13000000000000003</v>
      </c>
    </row>
    <row r="19" spans="1:23">
      <c r="A19" s="323">
        <v>45840</v>
      </c>
      <c r="B19" s="324" t="s">
        <v>282</v>
      </c>
      <c r="C19" s="324" t="s">
        <v>317</v>
      </c>
      <c r="D19" s="324" t="s">
        <v>80</v>
      </c>
      <c r="E19" s="325">
        <v>-140779</v>
      </c>
      <c r="F19" s="324">
        <v>-0.12</v>
      </c>
      <c r="G19" s="261">
        <f t="shared" si="0"/>
        <v>11731583333.333334</v>
      </c>
      <c r="R19" t="str">
        <f t="shared" si="1"/>
        <v>COIN</v>
      </c>
      <c r="S19">
        <f t="shared" si="2"/>
        <v>-140779</v>
      </c>
      <c r="T19" s="262">
        <f>IF(R19="","",IF(LEN(R19)&gt;9,SUMIFS(Options!$AZ$3:$AZ$32,Options!$B$3:$B$32,'Check result'!R19),SUMIFS('Master P&amp;L'!$AE$11:$AE$106,'Master P&amp;L'!$B$11:$B$106,'Check result'!R19)))</f>
        <v>0</v>
      </c>
      <c r="U19" s="262">
        <f t="shared" si="3"/>
        <v>0</v>
      </c>
      <c r="V19" s="261">
        <f t="shared" si="4"/>
        <v>-140779</v>
      </c>
      <c r="W19">
        <f t="shared" si="5"/>
        <v>-0.11999999999999998</v>
      </c>
    </row>
    <row r="20" spans="1:23">
      <c r="A20" s="323">
        <v>45840</v>
      </c>
      <c r="B20" s="324" t="s">
        <v>282</v>
      </c>
      <c r="C20" s="324" t="s">
        <v>324</v>
      </c>
      <c r="D20" s="324" t="s">
        <v>1736</v>
      </c>
      <c r="E20" s="325">
        <v>-128119</v>
      </c>
      <c r="F20" s="324">
        <v>-0.11</v>
      </c>
      <c r="G20" s="261">
        <f t="shared" si="0"/>
        <v>11647181818.181818</v>
      </c>
      <c r="R20" t="str">
        <f t="shared" si="1"/>
        <v>SPY US 07/18/25 P595</v>
      </c>
      <c r="S20">
        <f t="shared" si="2"/>
        <v>-128119</v>
      </c>
      <c r="T20" s="262">
        <f>IF(R20="","",IF(LEN(R20)&gt;9,SUMIFS(Options!$AZ$3:$AZ$32,Options!$B$3:$B$32,'Check result'!R20),SUMIFS('Master P&amp;L'!$AE$11:$AE$106,'Master P&amp;L'!$B$11:$B$106,'Check result'!R20)))</f>
        <v>0</v>
      </c>
      <c r="U20" s="262">
        <f t="shared" si="3"/>
        <v>0</v>
      </c>
      <c r="V20" s="261">
        <f t="shared" si="4"/>
        <v>-128119</v>
      </c>
      <c r="W20">
        <f t="shared" si="5"/>
        <v>-0.11</v>
      </c>
    </row>
    <row r="21" spans="1:23">
      <c r="A21" s="323">
        <v>45840</v>
      </c>
      <c r="B21" s="324" t="s">
        <v>282</v>
      </c>
      <c r="C21" s="324" t="s">
        <v>324</v>
      </c>
      <c r="D21" s="324" t="s">
        <v>1738</v>
      </c>
      <c r="E21" s="325">
        <v>-127659</v>
      </c>
      <c r="F21" s="324">
        <v>-0.11</v>
      </c>
      <c r="G21" s="261">
        <f t="shared" si="0"/>
        <v>11605363636.363636</v>
      </c>
      <c r="R21" t="str">
        <f t="shared" si="1"/>
        <v>SPY US 07/18/25 C625</v>
      </c>
      <c r="S21">
        <f t="shared" si="2"/>
        <v>-127659</v>
      </c>
      <c r="T21" s="262">
        <f>IF(R21="","",IF(LEN(R21)&gt;9,SUMIFS(Options!$AZ$3:$AZ$32,Options!$B$3:$B$32,'Check result'!R21),SUMIFS('Master P&amp;L'!$AE$11:$AE$106,'Master P&amp;L'!$B$11:$B$106,'Check result'!R21)))</f>
        <v>0</v>
      </c>
      <c r="U21" s="262">
        <f t="shared" si="3"/>
        <v>0</v>
      </c>
      <c r="V21" s="261">
        <f t="shared" si="4"/>
        <v>-127659</v>
      </c>
      <c r="W21">
        <f t="shared" si="5"/>
        <v>-0.11</v>
      </c>
    </row>
    <row r="22" spans="1:23">
      <c r="A22" s="323">
        <v>45840</v>
      </c>
      <c r="B22" s="324" t="s">
        <v>282</v>
      </c>
      <c r="C22" s="324" t="s">
        <v>324</v>
      </c>
      <c r="D22" s="324" t="s">
        <v>1824</v>
      </c>
      <c r="E22" s="325">
        <v>-123172</v>
      </c>
      <c r="F22" s="324">
        <v>-0.11</v>
      </c>
      <c r="G22" s="261">
        <f t="shared" si="0"/>
        <v>11197454545.454546</v>
      </c>
      <c r="R22" t="str">
        <f t="shared" si="1"/>
        <v>EWT US 09/19/25 C60</v>
      </c>
      <c r="S22">
        <f t="shared" si="2"/>
        <v>-123172</v>
      </c>
      <c r="T22" s="262">
        <f>IF(R22="","",IF(LEN(R22)&gt;9,SUMIFS(Options!$AZ$3:$AZ$32,Options!$B$3:$B$32,'Check result'!R22),SUMIFS('Master P&amp;L'!$AE$11:$AE$106,'Master P&amp;L'!$B$11:$B$106,'Check result'!R22)))</f>
        <v>0</v>
      </c>
      <c r="U22" s="262">
        <f t="shared" si="3"/>
        <v>0</v>
      </c>
      <c r="V22" s="261">
        <f t="shared" si="4"/>
        <v>-123172</v>
      </c>
      <c r="W22">
        <f t="shared" si="5"/>
        <v>-0.11</v>
      </c>
    </row>
    <row r="23" spans="1:23">
      <c r="A23" s="323">
        <v>45840</v>
      </c>
      <c r="B23" s="324" t="s">
        <v>282</v>
      </c>
      <c r="C23" s="324" t="s">
        <v>319</v>
      </c>
      <c r="D23" s="324" t="s">
        <v>1690</v>
      </c>
      <c r="E23" s="325">
        <v>-114511</v>
      </c>
      <c r="F23" s="324">
        <v>-0.1</v>
      </c>
      <c r="G23" s="261">
        <f t="shared" si="0"/>
        <v>11451100000</v>
      </c>
      <c r="R23" t="str">
        <f t="shared" si="1"/>
        <v>UBER US 07/18/25 C95</v>
      </c>
      <c r="S23">
        <f t="shared" si="2"/>
        <v>-114511</v>
      </c>
      <c r="T23" s="262">
        <f>IF(R23="","",IF(LEN(R23)&gt;9,SUMIFS(Options!$AZ$3:$AZ$32,Options!$B$3:$B$32,'Check result'!R23),SUMIFS('Master P&amp;L'!$AE$11:$AE$106,'Master P&amp;L'!$B$11:$B$106,'Check result'!R23)))</f>
        <v>0</v>
      </c>
      <c r="U23" s="262">
        <f t="shared" si="3"/>
        <v>0</v>
      </c>
      <c r="V23" s="261">
        <f t="shared" si="4"/>
        <v>-114511</v>
      </c>
      <c r="W23">
        <f t="shared" si="5"/>
        <v>-0.1</v>
      </c>
    </row>
    <row r="24" spans="1:23">
      <c r="A24" s="323">
        <v>45840</v>
      </c>
      <c r="B24" s="324" t="s">
        <v>282</v>
      </c>
      <c r="C24" s="324" t="s">
        <v>320</v>
      </c>
      <c r="D24" s="324" t="s">
        <v>401</v>
      </c>
      <c r="E24" s="325">
        <v>-104979</v>
      </c>
      <c r="F24" s="324">
        <v>-0.09</v>
      </c>
      <c r="G24" s="261">
        <f t="shared" si="0"/>
        <v>11664333333.333334</v>
      </c>
      <c r="R24" t="str">
        <f t="shared" si="1"/>
        <v>XRT</v>
      </c>
      <c r="S24">
        <f t="shared" si="2"/>
        <v>-104979</v>
      </c>
      <c r="T24" s="262">
        <f>IF(R24="","",IF(LEN(R24)&gt;9,SUMIFS(Options!$AZ$3:$AZ$32,Options!$B$3:$B$32,'Check result'!R24),SUMIFS('Master P&amp;L'!$AE$11:$AE$106,'Master P&amp;L'!$B$11:$B$106,'Check result'!R24)))</f>
        <v>0</v>
      </c>
      <c r="U24" s="262">
        <f t="shared" si="3"/>
        <v>0</v>
      </c>
      <c r="V24" s="261">
        <f t="shared" si="4"/>
        <v>-104979</v>
      </c>
      <c r="W24">
        <f t="shared" si="5"/>
        <v>-0.09</v>
      </c>
    </row>
    <row r="25" spans="1:23">
      <c r="A25" s="323">
        <v>45840</v>
      </c>
      <c r="B25" s="324" t="s">
        <v>282</v>
      </c>
      <c r="C25" s="324" t="s">
        <v>324</v>
      </c>
      <c r="D25" s="324" t="s">
        <v>1816</v>
      </c>
      <c r="E25" s="325">
        <v>-103084</v>
      </c>
      <c r="F25" s="324">
        <v>-0.09</v>
      </c>
      <c r="G25" s="261">
        <f t="shared" si="0"/>
        <v>11453777777.777777</v>
      </c>
      <c r="R25" t="str">
        <f t="shared" si="1"/>
        <v>SOXX US 07/18/25 P235</v>
      </c>
      <c r="S25">
        <f t="shared" si="2"/>
        <v>-103084</v>
      </c>
      <c r="T25" s="262">
        <f>IF(R25="","",IF(LEN(R25)&gt;9,SUMIFS(Options!$AZ$3:$AZ$32,Options!$B$3:$B$32,'Check result'!R25),SUMIFS('Master P&amp;L'!$AE$11:$AE$106,'Master P&amp;L'!$B$11:$B$106,'Check result'!R25)))</f>
        <v>0</v>
      </c>
      <c r="U25" s="262">
        <f t="shared" si="3"/>
        <v>0</v>
      </c>
      <c r="V25" s="261">
        <f t="shared" si="4"/>
        <v>-103084</v>
      </c>
      <c r="W25">
        <f t="shared" si="5"/>
        <v>-0.09</v>
      </c>
    </row>
    <row r="26" spans="1:23">
      <c r="A26" s="323">
        <v>45840</v>
      </c>
      <c r="B26" s="324" t="s">
        <v>282</v>
      </c>
      <c r="C26" s="324" t="s">
        <v>317</v>
      </c>
      <c r="D26" s="324" t="s">
        <v>128</v>
      </c>
      <c r="E26" s="325">
        <v>-99741</v>
      </c>
      <c r="F26" s="324">
        <v>-0.09</v>
      </c>
      <c r="G26" s="261">
        <f t="shared" si="0"/>
        <v>11082333333.333334</v>
      </c>
      <c r="R26" t="str">
        <f t="shared" si="1"/>
        <v>BKNG</v>
      </c>
      <c r="S26">
        <f t="shared" si="2"/>
        <v>-99741</v>
      </c>
      <c r="T26" s="262">
        <f>IF(R26="","",IF(LEN(R26)&gt;9,SUMIFS(Options!$AZ$3:$AZ$32,Options!$B$3:$B$32,'Check result'!R26),SUMIFS('Master P&amp;L'!$AE$11:$AE$106,'Master P&amp;L'!$B$11:$B$106,'Check result'!R26)))</f>
        <v>0</v>
      </c>
      <c r="U26" s="262">
        <f t="shared" si="3"/>
        <v>0</v>
      </c>
      <c r="V26" s="261">
        <f t="shared" si="4"/>
        <v>-99741</v>
      </c>
      <c r="W26">
        <f t="shared" si="5"/>
        <v>-0.09</v>
      </c>
    </row>
    <row r="27" spans="1:23">
      <c r="A27" s="323">
        <v>45840</v>
      </c>
      <c r="B27" s="324" t="s">
        <v>282</v>
      </c>
      <c r="C27" s="324" t="s">
        <v>319</v>
      </c>
      <c r="D27" s="324" t="s">
        <v>1828</v>
      </c>
      <c r="E27" s="325">
        <v>-92037</v>
      </c>
      <c r="F27" s="324">
        <v>-0.08</v>
      </c>
      <c r="G27" s="261">
        <f t="shared" si="0"/>
        <v>11504625000</v>
      </c>
      <c r="R27" t="str">
        <f t="shared" si="1"/>
        <v>COIN US 07/18/25 C400</v>
      </c>
      <c r="S27">
        <f t="shared" si="2"/>
        <v>-92037</v>
      </c>
      <c r="T27" s="262">
        <f>IF(R27="","",IF(LEN(R27)&gt;9,SUMIFS(Options!$AZ$3:$AZ$32,Options!$B$3:$B$32,'Check result'!R27),SUMIFS('Master P&amp;L'!$AE$11:$AE$106,'Master P&amp;L'!$B$11:$B$106,'Check result'!R27)))</f>
        <v>0</v>
      </c>
      <c r="U27" s="262">
        <f t="shared" si="3"/>
        <v>0</v>
      </c>
      <c r="V27" s="261">
        <f t="shared" si="4"/>
        <v>-92037</v>
      </c>
      <c r="W27">
        <f t="shared" si="5"/>
        <v>-0.08</v>
      </c>
    </row>
    <row r="28" spans="1:23">
      <c r="A28" s="323">
        <v>45840</v>
      </c>
      <c r="B28" s="324" t="s">
        <v>282</v>
      </c>
      <c r="C28" s="324" t="s">
        <v>319</v>
      </c>
      <c r="D28" s="324" t="s">
        <v>1815</v>
      </c>
      <c r="E28" s="325">
        <v>-73586</v>
      </c>
      <c r="F28" s="324">
        <v>-7.0000000000000007E-2</v>
      </c>
      <c r="G28" s="261">
        <f t="shared" si="0"/>
        <v>10512285714.285713</v>
      </c>
      <c r="R28" t="str">
        <f t="shared" si="1"/>
        <v>NVDA US 07/18/25 C165</v>
      </c>
      <c r="S28">
        <f t="shared" si="2"/>
        <v>-73586</v>
      </c>
      <c r="T28" s="262">
        <f>IF(R28="","",IF(LEN(R28)&gt;9,SUMIFS(Options!$AZ$3:$AZ$32,Options!$B$3:$B$32,'Check result'!R28),SUMIFS('Master P&amp;L'!$AE$11:$AE$106,'Master P&amp;L'!$B$11:$B$106,'Check result'!R28)))</f>
        <v>0</v>
      </c>
      <c r="U28" s="262">
        <f t="shared" si="3"/>
        <v>0</v>
      </c>
      <c r="V28" s="261">
        <f t="shared" si="4"/>
        <v>-73586</v>
      </c>
      <c r="W28">
        <f t="shared" si="5"/>
        <v>-7.0000000000000007E-2</v>
      </c>
    </row>
    <row r="29" spans="1:23">
      <c r="A29" s="323">
        <v>45840</v>
      </c>
      <c r="B29" s="324" t="s">
        <v>282</v>
      </c>
      <c r="C29" s="324" t="s">
        <v>324</v>
      </c>
      <c r="D29" s="324" t="s">
        <v>1771</v>
      </c>
      <c r="E29" s="325">
        <v>-71135</v>
      </c>
      <c r="F29" s="324">
        <v>-0.06</v>
      </c>
      <c r="G29" s="261">
        <f t="shared" si="0"/>
        <v>11855833333.333334</v>
      </c>
      <c r="R29" t="str">
        <f t="shared" si="1"/>
        <v>QQQ US 07/11/25 C550</v>
      </c>
      <c r="S29">
        <f t="shared" si="2"/>
        <v>-71135</v>
      </c>
      <c r="T29" s="262">
        <f>IF(R29="","",IF(LEN(R29)&gt;9,SUMIFS(Options!$AZ$3:$AZ$32,Options!$B$3:$B$32,'Check result'!R29),SUMIFS('Master P&amp;L'!$AE$11:$AE$106,'Master P&amp;L'!$B$11:$B$106,'Check result'!R29)))</f>
        <v>0</v>
      </c>
      <c r="U29" s="262">
        <f t="shared" si="3"/>
        <v>0</v>
      </c>
      <c r="V29" s="261">
        <f t="shared" si="4"/>
        <v>-71135</v>
      </c>
      <c r="W29">
        <f t="shared" si="5"/>
        <v>-5.9999999999999991E-2</v>
      </c>
    </row>
    <row r="30" spans="1:23">
      <c r="A30" s="323">
        <v>45840</v>
      </c>
      <c r="B30" s="324" t="s">
        <v>282</v>
      </c>
      <c r="C30" s="324" t="s">
        <v>319</v>
      </c>
      <c r="D30" s="324" t="s">
        <v>1835</v>
      </c>
      <c r="E30" s="325">
        <v>-70821</v>
      </c>
      <c r="F30" s="324">
        <v>-0.06</v>
      </c>
      <c r="G30" s="261">
        <f t="shared" si="0"/>
        <v>11803500000</v>
      </c>
      <c r="R30" t="str">
        <f t="shared" si="1"/>
        <v>MU US 08/15/25 C135</v>
      </c>
      <c r="S30">
        <f t="shared" si="2"/>
        <v>-70821</v>
      </c>
      <c r="T30" s="262">
        <f>IF(R30="","",IF(LEN(R30)&gt;9,SUMIFS(Options!$AZ$3:$AZ$32,Options!$B$3:$B$32,'Check result'!R30),SUMIFS('Master P&amp;L'!$AE$11:$AE$106,'Master P&amp;L'!$B$11:$B$106,'Check result'!R30)))</f>
        <v>0</v>
      </c>
      <c r="U30" s="262">
        <f t="shared" si="3"/>
        <v>0</v>
      </c>
      <c r="V30" s="261">
        <f t="shared" si="4"/>
        <v>-70821</v>
      </c>
      <c r="W30">
        <f t="shared" si="5"/>
        <v>-6.0000000000000005E-2</v>
      </c>
    </row>
    <row r="31" spans="1:23">
      <c r="A31" s="323">
        <v>45840</v>
      </c>
      <c r="B31" s="324" t="s">
        <v>282</v>
      </c>
      <c r="C31" s="324" t="s">
        <v>319</v>
      </c>
      <c r="D31" s="324" t="s">
        <v>1741</v>
      </c>
      <c r="E31" s="325">
        <v>-69837</v>
      </c>
      <c r="F31" s="324">
        <v>-0.06</v>
      </c>
      <c r="G31" s="261">
        <f t="shared" si="0"/>
        <v>11639500000</v>
      </c>
      <c r="R31" t="str">
        <f t="shared" si="1"/>
        <v>AAPL US 07/18/25 C215</v>
      </c>
      <c r="S31">
        <f t="shared" si="2"/>
        <v>-69837</v>
      </c>
      <c r="T31" s="262">
        <f>IF(R31="","",IF(LEN(R31)&gt;9,SUMIFS(Options!$AZ$3:$AZ$32,Options!$B$3:$B$32,'Check result'!R31),SUMIFS('Master P&amp;L'!$AE$11:$AE$106,'Master P&amp;L'!$B$11:$B$106,'Check result'!R31)))</f>
        <v>0</v>
      </c>
      <c r="U31" s="262">
        <f t="shared" si="3"/>
        <v>0</v>
      </c>
      <c r="V31" s="261">
        <f t="shared" si="4"/>
        <v>-69837</v>
      </c>
      <c r="W31">
        <f t="shared" si="5"/>
        <v>-6.0000000000000005E-2</v>
      </c>
    </row>
    <row r="32" spans="1:23">
      <c r="A32" s="323">
        <v>45840</v>
      </c>
      <c r="B32" s="324" t="s">
        <v>282</v>
      </c>
      <c r="C32" s="324" t="s">
        <v>324</v>
      </c>
      <c r="D32" s="324" t="s">
        <v>1788</v>
      </c>
      <c r="E32" s="325">
        <v>-68578</v>
      </c>
      <c r="F32" s="324">
        <v>-0.06</v>
      </c>
      <c r="G32" s="261">
        <f t="shared" si="0"/>
        <v>11429666666.666668</v>
      </c>
      <c r="R32" t="str">
        <f t="shared" si="1"/>
        <v>EWT US 09/19/25 P55</v>
      </c>
      <c r="S32">
        <f t="shared" si="2"/>
        <v>-68578</v>
      </c>
      <c r="T32" s="262">
        <f>IF(R32="","",IF(LEN(R32)&gt;9,SUMIFS(Options!$AZ$3:$AZ$32,Options!$B$3:$B$32,'Check result'!R32),SUMIFS('Master P&amp;L'!$AE$11:$AE$106,'Master P&amp;L'!$B$11:$B$106,'Check result'!R32)))</f>
        <v>0</v>
      </c>
      <c r="U32" s="262">
        <f t="shared" si="3"/>
        <v>0</v>
      </c>
      <c r="V32" s="261">
        <f t="shared" si="4"/>
        <v>-68578</v>
      </c>
      <c r="W32">
        <f t="shared" si="5"/>
        <v>-5.9999999999999991E-2</v>
      </c>
    </row>
    <row r="33" spans="1:23">
      <c r="A33" s="323">
        <v>45840</v>
      </c>
      <c r="B33" s="324" t="s">
        <v>282</v>
      </c>
      <c r="C33" s="324" t="s">
        <v>317</v>
      </c>
      <c r="D33" s="324" t="s">
        <v>305</v>
      </c>
      <c r="E33" s="325">
        <v>-63399</v>
      </c>
      <c r="F33" s="324">
        <v>-0.06</v>
      </c>
      <c r="G33" s="261">
        <f t="shared" si="0"/>
        <v>10566500000</v>
      </c>
      <c r="R33" t="str">
        <f t="shared" si="1"/>
        <v>NTGR</v>
      </c>
      <c r="S33">
        <f t="shared" si="2"/>
        <v>-63399</v>
      </c>
      <c r="T33" s="262">
        <f>IF(R33="","",IF(LEN(R33)&gt;9,SUMIFS(Options!$AZ$3:$AZ$32,Options!$B$3:$B$32,'Check result'!R33),SUMIFS('Master P&amp;L'!$AE$11:$AE$106,'Master P&amp;L'!$B$11:$B$106,'Check result'!R33)))</f>
        <v>0</v>
      </c>
      <c r="U33" s="262">
        <f t="shared" si="3"/>
        <v>0</v>
      </c>
      <c r="V33" s="261">
        <f t="shared" si="4"/>
        <v>-63399</v>
      </c>
      <c r="W33">
        <f t="shared" si="5"/>
        <v>-6.0000000000000005E-2</v>
      </c>
    </row>
    <row r="34" spans="1:23">
      <c r="A34" s="323">
        <v>45840</v>
      </c>
      <c r="B34" s="324" t="s">
        <v>282</v>
      </c>
      <c r="C34" s="324" t="s">
        <v>324</v>
      </c>
      <c r="D34" s="324" t="s">
        <v>1778</v>
      </c>
      <c r="E34" s="325">
        <v>-58329</v>
      </c>
      <c r="F34" s="324">
        <v>-0.05</v>
      </c>
      <c r="G34" s="261">
        <f t="shared" si="0"/>
        <v>11665800000</v>
      </c>
      <c r="R34" t="str">
        <f t="shared" si="1"/>
        <v>QQQ US 07/18/25 P525</v>
      </c>
      <c r="S34">
        <f t="shared" si="2"/>
        <v>-58329</v>
      </c>
      <c r="T34" s="262">
        <f>IF(R34="","",IF(LEN(R34)&gt;9,SUMIFS(Options!$AZ$3:$AZ$32,Options!$B$3:$B$32,'Check result'!R34),SUMIFS('Master P&amp;L'!$AE$11:$AE$106,'Master P&amp;L'!$B$11:$B$106,'Check result'!R34)))</f>
        <v>0</v>
      </c>
      <c r="U34" s="262">
        <f t="shared" si="3"/>
        <v>0</v>
      </c>
      <c r="V34" s="261">
        <f t="shared" si="4"/>
        <v>-58329</v>
      </c>
      <c r="W34">
        <f t="shared" si="5"/>
        <v>-0.05</v>
      </c>
    </row>
    <row r="35" spans="1:23">
      <c r="A35" s="323">
        <v>45840</v>
      </c>
      <c r="B35" s="324" t="s">
        <v>282</v>
      </c>
      <c r="C35" s="324" t="s">
        <v>317</v>
      </c>
      <c r="D35" s="324" t="s">
        <v>79</v>
      </c>
      <c r="E35" s="325">
        <v>-56191</v>
      </c>
      <c r="F35" s="324">
        <v>-0.05</v>
      </c>
      <c r="G35" s="261">
        <f t="shared" si="0"/>
        <v>11238200000</v>
      </c>
      <c r="R35" t="str">
        <f t="shared" si="1"/>
        <v>AAPL</v>
      </c>
      <c r="S35">
        <f t="shared" si="2"/>
        <v>-56191</v>
      </c>
      <c r="T35" s="262">
        <f>IF(R35="","",IF(LEN(R35)&gt;9,SUMIFS(Options!$AZ$3:$AZ$32,Options!$B$3:$B$32,'Check result'!R35),SUMIFS('Master P&amp;L'!$AE$11:$AE$106,'Master P&amp;L'!$B$11:$B$106,'Check result'!R35)))</f>
        <v>0</v>
      </c>
      <c r="U35" s="262">
        <f t="shared" si="3"/>
        <v>0</v>
      </c>
      <c r="V35" s="261">
        <f t="shared" si="4"/>
        <v>-56191</v>
      </c>
      <c r="W35">
        <f t="shared" si="5"/>
        <v>-0.05</v>
      </c>
    </row>
    <row r="36" spans="1:23">
      <c r="A36" s="323">
        <v>45840</v>
      </c>
      <c r="B36" s="324" t="s">
        <v>282</v>
      </c>
      <c r="C36" s="324" t="s">
        <v>325</v>
      </c>
      <c r="D36" s="324" t="s">
        <v>304</v>
      </c>
      <c r="E36" s="325">
        <v>-55901</v>
      </c>
      <c r="F36" s="324">
        <v>-0.05</v>
      </c>
      <c r="G36" s="261">
        <f t="shared" si="0"/>
        <v>11180200000</v>
      </c>
      <c r="R36" t="str">
        <f t="shared" si="1"/>
        <v>GSC1000P 03/20/26 C79.50</v>
      </c>
      <c r="S36">
        <f t="shared" si="2"/>
        <v>-55901</v>
      </c>
      <c r="T36" s="262">
        <f>IF(R36="","",IF(LEN(R36)&gt;9,SUMIFS(Options!$AZ$3:$AZ$32,Options!$B$3:$B$32,'Check result'!R36),SUMIFS('Master P&amp;L'!$AE$11:$AE$106,'Master P&amp;L'!$B$11:$B$106,'Check result'!R36)))</f>
        <v>0</v>
      </c>
      <c r="U36" s="262">
        <f t="shared" si="3"/>
        <v>0</v>
      </c>
      <c r="V36" s="261">
        <f t="shared" si="4"/>
        <v>-55901</v>
      </c>
      <c r="W36">
        <f t="shared" si="5"/>
        <v>-0.05</v>
      </c>
    </row>
    <row r="37" spans="1:23">
      <c r="A37" s="323">
        <v>45840</v>
      </c>
      <c r="B37" s="324" t="s">
        <v>282</v>
      </c>
      <c r="C37" s="324" t="s">
        <v>324</v>
      </c>
      <c r="D37" s="324" t="s">
        <v>1826</v>
      </c>
      <c r="E37" s="325">
        <v>-53690</v>
      </c>
      <c r="F37" s="324">
        <v>-0.05</v>
      </c>
      <c r="G37" s="261">
        <f t="shared" si="0"/>
        <v>10738000000</v>
      </c>
      <c r="R37" t="str">
        <f t="shared" si="1"/>
        <v>EWT US 09/19/25 P57</v>
      </c>
      <c r="S37">
        <f t="shared" si="2"/>
        <v>-53690</v>
      </c>
      <c r="T37" s="262">
        <f>IF(R37="","",IF(LEN(R37)&gt;9,SUMIFS(Options!$AZ$3:$AZ$32,Options!$B$3:$B$32,'Check result'!R37),SUMIFS('Master P&amp;L'!$AE$11:$AE$106,'Master P&amp;L'!$B$11:$B$106,'Check result'!R37)))</f>
        <v>0</v>
      </c>
      <c r="U37" s="262">
        <f t="shared" si="3"/>
        <v>0</v>
      </c>
      <c r="V37" s="261">
        <f t="shared" si="4"/>
        <v>-53690</v>
      </c>
      <c r="W37">
        <f t="shared" si="5"/>
        <v>-0.05</v>
      </c>
    </row>
    <row r="38" spans="1:23">
      <c r="A38" s="323">
        <v>45840</v>
      </c>
      <c r="B38" s="324" t="s">
        <v>282</v>
      </c>
      <c r="C38" s="324" t="s">
        <v>324</v>
      </c>
      <c r="D38" s="324" t="s">
        <v>1821</v>
      </c>
      <c r="E38" s="325">
        <v>-51969</v>
      </c>
      <c r="F38" s="324">
        <v>-0.05</v>
      </c>
      <c r="G38" s="261">
        <f t="shared" si="0"/>
        <v>10393800000</v>
      </c>
      <c r="R38" t="str">
        <f t="shared" si="1"/>
        <v>QQQ US 07/18/25 P540</v>
      </c>
      <c r="S38">
        <f t="shared" si="2"/>
        <v>-51969</v>
      </c>
      <c r="T38" s="262">
        <f>IF(R38="","",IF(LEN(R38)&gt;9,SUMIFS(Options!$AZ$3:$AZ$32,Options!$B$3:$B$32,'Check result'!R38),SUMIFS('Master P&amp;L'!$AE$11:$AE$106,'Master P&amp;L'!$B$11:$B$106,'Check result'!R38)))</f>
        <v>0</v>
      </c>
      <c r="U38" s="262">
        <f t="shared" si="3"/>
        <v>0</v>
      </c>
      <c r="V38" s="261">
        <f t="shared" si="4"/>
        <v>-51969</v>
      </c>
      <c r="W38">
        <f t="shared" si="5"/>
        <v>-0.05</v>
      </c>
    </row>
    <row r="39" spans="1:23">
      <c r="A39" s="323">
        <v>45840</v>
      </c>
      <c r="B39" s="324" t="s">
        <v>282</v>
      </c>
      <c r="C39" s="324" t="s">
        <v>324</v>
      </c>
      <c r="D39" s="324" t="s">
        <v>1819</v>
      </c>
      <c r="E39" s="325">
        <v>-50505</v>
      </c>
      <c r="F39" s="324">
        <v>-0.04</v>
      </c>
      <c r="G39" s="261">
        <f t="shared" si="0"/>
        <v>12626250000</v>
      </c>
      <c r="R39" t="str">
        <f t="shared" si="1"/>
        <v>QQQ US 07/18/25 C555</v>
      </c>
      <c r="S39">
        <f t="shared" si="2"/>
        <v>-50505</v>
      </c>
      <c r="T39" s="262">
        <f>IF(R39="","",IF(LEN(R39)&gt;9,SUMIFS(Options!$AZ$3:$AZ$32,Options!$B$3:$B$32,'Check result'!R39),SUMIFS('Master P&amp;L'!$AE$11:$AE$106,'Master P&amp;L'!$B$11:$B$106,'Check result'!R39)))</f>
        <v>0</v>
      </c>
      <c r="U39" s="262">
        <f t="shared" si="3"/>
        <v>0</v>
      </c>
      <c r="V39" s="261">
        <f t="shared" si="4"/>
        <v>-50505</v>
      </c>
      <c r="W39">
        <f t="shared" si="5"/>
        <v>-0.04</v>
      </c>
    </row>
    <row r="40" spans="1:23">
      <c r="A40" s="323">
        <v>45840</v>
      </c>
      <c r="B40" s="324" t="s">
        <v>282</v>
      </c>
      <c r="C40" s="324" t="s">
        <v>324</v>
      </c>
      <c r="D40" s="324" t="s">
        <v>1715</v>
      </c>
      <c r="E40" s="325">
        <v>-47699</v>
      </c>
      <c r="F40" s="324">
        <v>-0.04</v>
      </c>
      <c r="G40" s="261">
        <f t="shared" si="0"/>
        <v>11924750000</v>
      </c>
      <c r="R40" t="str">
        <f t="shared" si="1"/>
        <v>GLD US 09/19/25 C335</v>
      </c>
      <c r="S40">
        <f t="shared" si="2"/>
        <v>-47699</v>
      </c>
      <c r="T40" s="262">
        <f>IF(R40="","",IF(LEN(R40)&gt;9,SUMIFS(Options!$AZ$3:$AZ$32,Options!$B$3:$B$32,'Check result'!R40),SUMIFS('Master P&amp;L'!$AE$11:$AE$106,'Master P&amp;L'!$B$11:$B$106,'Check result'!R40)))</f>
        <v>0</v>
      </c>
      <c r="U40" s="262">
        <f t="shared" si="3"/>
        <v>0</v>
      </c>
      <c r="V40" s="261">
        <f t="shared" si="4"/>
        <v>-47699</v>
      </c>
      <c r="W40">
        <f t="shared" si="5"/>
        <v>-0.04</v>
      </c>
    </row>
    <row r="41" spans="1:23">
      <c r="A41" s="323">
        <v>45840</v>
      </c>
      <c r="B41" s="324" t="s">
        <v>282</v>
      </c>
      <c r="C41" s="324" t="s">
        <v>39</v>
      </c>
      <c r="D41" s="324" t="s">
        <v>92</v>
      </c>
      <c r="E41" s="325">
        <v>-46605</v>
      </c>
      <c r="F41" s="324">
        <v>-0.04</v>
      </c>
      <c r="G41" s="261">
        <f t="shared" si="0"/>
        <v>11651250000</v>
      </c>
      <c r="R41" t="str">
        <f t="shared" si="1"/>
        <v>LYSDY</v>
      </c>
      <c r="S41">
        <f t="shared" si="2"/>
        <v>-46605</v>
      </c>
      <c r="T41" s="262">
        <f>IF(R41="","",IF(LEN(R41)&gt;9,SUMIFS(Options!$AZ$3:$AZ$32,Options!$B$3:$B$32,'Check result'!R41),SUMIFS('Master P&amp;L'!$AE$11:$AE$106,'Master P&amp;L'!$B$11:$B$106,'Check result'!R41)))</f>
        <v>0</v>
      </c>
      <c r="U41" s="262">
        <f t="shared" si="3"/>
        <v>0</v>
      </c>
      <c r="V41" s="261">
        <f t="shared" si="4"/>
        <v>-46605</v>
      </c>
      <c r="W41">
        <f t="shared" si="5"/>
        <v>-0.04</v>
      </c>
    </row>
    <row r="42" spans="1:23">
      <c r="A42" s="323">
        <v>45840</v>
      </c>
      <c r="B42" s="324" t="s">
        <v>282</v>
      </c>
      <c r="C42" s="324" t="s">
        <v>39</v>
      </c>
      <c r="D42" s="324" t="s">
        <v>1679</v>
      </c>
      <c r="E42" s="325">
        <v>-41345</v>
      </c>
      <c r="F42" s="324">
        <v>-0.04</v>
      </c>
      <c r="G42" s="261">
        <f t="shared" si="0"/>
        <v>10336250000</v>
      </c>
      <c r="R42" t="str">
        <f t="shared" si="1"/>
        <v>SHEL</v>
      </c>
      <c r="S42">
        <f t="shared" si="2"/>
        <v>-41345</v>
      </c>
      <c r="T42" s="262">
        <f>IF(R42="","",IF(LEN(R42)&gt;9,SUMIFS(Options!$AZ$3:$AZ$32,Options!$B$3:$B$32,'Check result'!R42),SUMIFS('Master P&amp;L'!$AE$11:$AE$106,'Master P&amp;L'!$B$11:$B$106,'Check result'!R42)))</f>
        <v>0</v>
      </c>
      <c r="U42" s="262">
        <f t="shared" si="3"/>
        <v>0</v>
      </c>
      <c r="V42" s="261">
        <f t="shared" si="4"/>
        <v>-41345</v>
      </c>
      <c r="W42">
        <f t="shared" si="5"/>
        <v>-0.04</v>
      </c>
    </row>
    <row r="43" spans="1:23">
      <c r="A43" s="323">
        <v>45840</v>
      </c>
      <c r="B43" s="324" t="s">
        <v>282</v>
      </c>
      <c r="C43" s="324" t="s">
        <v>320</v>
      </c>
      <c r="D43" s="324" t="s">
        <v>3</v>
      </c>
      <c r="E43" s="325">
        <v>-39567</v>
      </c>
      <c r="F43" s="324">
        <v>-0.03</v>
      </c>
      <c r="G43" s="261">
        <f t="shared" si="0"/>
        <v>13189000000</v>
      </c>
      <c r="R43" t="str">
        <f t="shared" si="1"/>
        <v>RSP</v>
      </c>
      <c r="S43">
        <f t="shared" si="2"/>
        <v>-39567</v>
      </c>
      <c r="T43" s="262">
        <f>IF(R43="","",IF(LEN(R43)&gt;9,SUMIFS(Options!$AZ$3:$AZ$32,Options!$B$3:$B$32,'Check result'!R43),SUMIFS('Master P&amp;L'!$AE$11:$AE$106,'Master P&amp;L'!$B$11:$B$106,'Check result'!R43)))</f>
        <v>0</v>
      </c>
      <c r="U43" s="262">
        <f t="shared" si="3"/>
        <v>0</v>
      </c>
      <c r="V43" s="261">
        <f t="shared" si="4"/>
        <v>-39567</v>
      </c>
      <c r="W43">
        <f t="shared" si="5"/>
        <v>-3.0000000000000002E-2</v>
      </c>
    </row>
    <row r="44" spans="1:23">
      <c r="A44" s="323">
        <v>45840</v>
      </c>
      <c r="B44" s="324" t="s">
        <v>282</v>
      </c>
      <c r="C44" s="324" t="s">
        <v>320</v>
      </c>
      <c r="D44" s="324" t="s">
        <v>89</v>
      </c>
      <c r="E44" s="325">
        <v>-37821</v>
      </c>
      <c r="F44" s="324">
        <v>-0.03</v>
      </c>
      <c r="G44" s="261">
        <f t="shared" si="0"/>
        <v>12607000000</v>
      </c>
      <c r="R44" t="str">
        <f t="shared" si="1"/>
        <v>IGV</v>
      </c>
      <c r="S44">
        <f t="shared" si="2"/>
        <v>-37821</v>
      </c>
      <c r="T44" s="262">
        <f>IF(R44="","",IF(LEN(R44)&gt;9,SUMIFS(Options!$AZ$3:$AZ$32,Options!$B$3:$B$32,'Check result'!R44),SUMIFS('Master P&amp;L'!$AE$11:$AE$106,'Master P&amp;L'!$B$11:$B$106,'Check result'!R44)))</f>
        <v>0</v>
      </c>
      <c r="U44" s="262">
        <f t="shared" si="3"/>
        <v>0</v>
      </c>
      <c r="V44" s="261">
        <f t="shared" si="4"/>
        <v>-37821</v>
      </c>
      <c r="W44">
        <f t="shared" si="5"/>
        <v>-3.0000000000000002E-2</v>
      </c>
    </row>
    <row r="45" spans="1:23">
      <c r="A45" s="323">
        <v>45840</v>
      </c>
      <c r="B45" s="324" t="s">
        <v>282</v>
      </c>
      <c r="C45" s="324" t="s">
        <v>320</v>
      </c>
      <c r="D45" s="324" t="s">
        <v>1685</v>
      </c>
      <c r="E45" s="325">
        <v>-32666</v>
      </c>
      <c r="F45" s="324">
        <v>-0.03</v>
      </c>
      <c r="G45" s="261">
        <f t="shared" si="0"/>
        <v>10888666666.666668</v>
      </c>
      <c r="R45" t="str">
        <f t="shared" si="1"/>
        <v>XHB</v>
      </c>
      <c r="S45">
        <f t="shared" si="2"/>
        <v>-32666</v>
      </c>
      <c r="T45" s="262">
        <f>IF(R45="","",IF(LEN(R45)&gt;9,SUMIFS(Options!$AZ$3:$AZ$32,Options!$B$3:$B$32,'Check result'!R45),SUMIFS('Master P&amp;L'!$AE$11:$AE$106,'Master P&amp;L'!$B$11:$B$106,'Check result'!R45)))</f>
        <v>0</v>
      </c>
      <c r="U45" s="262">
        <f t="shared" si="3"/>
        <v>0</v>
      </c>
      <c r="V45" s="261">
        <f t="shared" si="4"/>
        <v>-32666</v>
      </c>
      <c r="W45">
        <f t="shared" si="5"/>
        <v>-2.9999999999999995E-2</v>
      </c>
    </row>
    <row r="46" spans="1:23">
      <c r="A46" s="323">
        <v>45840</v>
      </c>
      <c r="B46" s="324" t="s">
        <v>282</v>
      </c>
      <c r="C46" s="324" t="s">
        <v>324</v>
      </c>
      <c r="D46" s="324" t="s">
        <v>1798</v>
      </c>
      <c r="E46" s="325">
        <v>-32490</v>
      </c>
      <c r="F46" s="324">
        <v>-0.03</v>
      </c>
      <c r="G46" s="261">
        <f t="shared" si="0"/>
        <v>10830000000</v>
      </c>
      <c r="R46" t="str">
        <f t="shared" si="1"/>
        <v>XLF US 07/18/25 P51.5</v>
      </c>
      <c r="S46">
        <f t="shared" si="2"/>
        <v>-32490</v>
      </c>
      <c r="T46" s="262">
        <f>IF(R46="","",IF(LEN(R46)&gt;9,SUMIFS(Options!$AZ$3:$AZ$32,Options!$B$3:$B$32,'Check result'!R46),SUMIFS('Master P&amp;L'!$AE$11:$AE$106,'Master P&amp;L'!$B$11:$B$106,'Check result'!R46)))</f>
        <v>0</v>
      </c>
      <c r="U46" s="262">
        <f t="shared" si="3"/>
        <v>0</v>
      </c>
      <c r="V46" s="261">
        <f t="shared" si="4"/>
        <v>-32490</v>
      </c>
      <c r="W46">
        <f t="shared" si="5"/>
        <v>-3.0000000000000002E-2</v>
      </c>
    </row>
    <row r="47" spans="1:23">
      <c r="A47" s="323">
        <v>45840</v>
      </c>
      <c r="B47" s="324" t="s">
        <v>282</v>
      </c>
      <c r="C47" s="324" t="s">
        <v>320</v>
      </c>
      <c r="D47" s="324" t="s">
        <v>1689</v>
      </c>
      <c r="E47" s="325">
        <v>-29155</v>
      </c>
      <c r="F47" s="324">
        <v>-0.03</v>
      </c>
      <c r="G47" s="261">
        <f t="shared" si="0"/>
        <v>9718333333.333334</v>
      </c>
      <c r="R47" t="str">
        <f t="shared" si="1"/>
        <v>ITB</v>
      </c>
      <c r="S47">
        <f t="shared" si="2"/>
        <v>-29155</v>
      </c>
      <c r="T47" s="262">
        <f>IF(R47="","",IF(LEN(R47)&gt;9,SUMIFS(Options!$AZ$3:$AZ$32,Options!$B$3:$B$32,'Check result'!R47),SUMIFS('Master P&amp;L'!$AE$11:$AE$106,'Master P&amp;L'!$B$11:$B$106,'Check result'!R47)))</f>
        <v>0</v>
      </c>
      <c r="U47" s="262">
        <f t="shared" si="3"/>
        <v>0</v>
      </c>
      <c r="V47" s="261">
        <f t="shared" si="4"/>
        <v>-29155</v>
      </c>
      <c r="W47">
        <f t="shared" si="5"/>
        <v>-2.9999999999999995E-2</v>
      </c>
    </row>
    <row r="48" spans="1:23">
      <c r="A48" s="323">
        <v>45840</v>
      </c>
      <c r="B48" s="324" t="s">
        <v>282</v>
      </c>
      <c r="C48" s="324" t="s">
        <v>320</v>
      </c>
      <c r="D48" s="324" t="s">
        <v>71</v>
      </c>
      <c r="E48" s="325">
        <v>-27555</v>
      </c>
      <c r="F48" s="324">
        <v>-0.02</v>
      </c>
      <c r="G48" s="261">
        <f t="shared" si="0"/>
        <v>13777500000</v>
      </c>
      <c r="R48" t="str">
        <f t="shared" si="1"/>
        <v>KRE</v>
      </c>
      <c r="S48">
        <f t="shared" si="2"/>
        <v>-27555</v>
      </c>
      <c r="T48" s="262">
        <f>IF(R48="","",IF(LEN(R48)&gt;9,SUMIFS(Options!$AZ$3:$AZ$32,Options!$B$3:$B$32,'Check result'!R48),SUMIFS('Master P&amp;L'!$AE$11:$AE$106,'Master P&amp;L'!$B$11:$B$106,'Check result'!R48)))</f>
        <v>0</v>
      </c>
      <c r="U48" s="262">
        <f t="shared" si="3"/>
        <v>0</v>
      </c>
      <c r="V48" s="261">
        <f t="shared" si="4"/>
        <v>-27555</v>
      </c>
      <c r="W48">
        <f t="shared" si="5"/>
        <v>-0.02</v>
      </c>
    </row>
    <row r="49" spans="1:23">
      <c r="A49" s="323">
        <v>45840</v>
      </c>
      <c r="B49" s="324" t="s">
        <v>282</v>
      </c>
      <c r="C49" s="324" t="s">
        <v>324</v>
      </c>
      <c r="D49" s="324" t="s">
        <v>1710</v>
      </c>
      <c r="E49" s="325">
        <v>-22013</v>
      </c>
      <c r="F49" s="324">
        <v>-0.02</v>
      </c>
      <c r="G49" s="261">
        <f t="shared" si="0"/>
        <v>11006500000</v>
      </c>
      <c r="R49" t="str">
        <f t="shared" si="1"/>
        <v>SMH US 07/18/25 P240</v>
      </c>
      <c r="S49">
        <f t="shared" si="2"/>
        <v>-22013</v>
      </c>
      <c r="T49" s="262">
        <f>IF(R49="","",IF(LEN(R49)&gt;9,SUMIFS(Options!$AZ$3:$AZ$32,Options!$B$3:$B$32,'Check result'!R49),SUMIFS('Master P&amp;L'!$AE$11:$AE$106,'Master P&amp;L'!$B$11:$B$106,'Check result'!R49)))</f>
        <v>0</v>
      </c>
      <c r="U49" s="262">
        <f t="shared" si="3"/>
        <v>0</v>
      </c>
      <c r="V49" s="261">
        <f t="shared" si="4"/>
        <v>-22013</v>
      </c>
      <c r="W49">
        <f t="shared" si="5"/>
        <v>-0.02</v>
      </c>
    </row>
    <row r="50" spans="1:23">
      <c r="A50" s="323">
        <v>45840</v>
      </c>
      <c r="B50" s="324" t="s">
        <v>282</v>
      </c>
      <c r="C50" s="324" t="s">
        <v>320</v>
      </c>
      <c r="D50" s="324" t="s">
        <v>4</v>
      </c>
      <c r="E50" s="325">
        <v>-18023</v>
      </c>
      <c r="F50" s="324">
        <v>-0.02</v>
      </c>
      <c r="G50" s="261">
        <f t="shared" si="0"/>
        <v>9011500000</v>
      </c>
      <c r="R50" t="str">
        <f t="shared" si="1"/>
        <v>XLP</v>
      </c>
      <c r="S50">
        <f t="shared" si="2"/>
        <v>-18023</v>
      </c>
      <c r="T50" s="262">
        <f>IF(R50="","",IF(LEN(R50)&gt;9,SUMIFS(Options!$AZ$3:$AZ$32,Options!$B$3:$B$32,'Check result'!R50),SUMIFS('Master P&amp;L'!$AE$11:$AE$106,'Master P&amp;L'!$B$11:$B$106,'Check result'!R50)))</f>
        <v>0</v>
      </c>
      <c r="U50" s="262">
        <f t="shared" si="3"/>
        <v>0</v>
      </c>
      <c r="V50" s="261">
        <f t="shared" si="4"/>
        <v>-18023</v>
      </c>
      <c r="W50">
        <f t="shared" si="5"/>
        <v>-0.02</v>
      </c>
    </row>
    <row r="51" spans="1:23">
      <c r="A51" s="323">
        <v>45840</v>
      </c>
      <c r="B51" s="324" t="s">
        <v>282</v>
      </c>
      <c r="C51" s="324" t="s">
        <v>639</v>
      </c>
      <c r="D51" s="324" t="s">
        <v>1728</v>
      </c>
      <c r="E51" s="325">
        <v>-17992</v>
      </c>
      <c r="F51" s="324">
        <v>-0.02</v>
      </c>
      <c r="G51" s="261">
        <f t="shared" si="0"/>
        <v>8996000000</v>
      </c>
      <c r="R51" t="str">
        <f t="shared" si="1"/>
        <v>SWAP CGCPRSPX 06JUN2025 05NOV2025 97.2738</v>
      </c>
      <c r="S51">
        <f t="shared" si="2"/>
        <v>-17992</v>
      </c>
      <c r="T51" s="262">
        <f>IF(R51="","",IF(LEN(R51)&gt;9,SUMIFS(Options!$AZ$3:$AZ$32,Options!$B$3:$B$32,'Check result'!R51),SUMIFS('Master P&amp;L'!$AE$11:$AE$106,'Master P&amp;L'!$B$11:$B$106,'Check result'!R51)))</f>
        <v>0</v>
      </c>
      <c r="U51" s="262">
        <f t="shared" si="3"/>
        <v>0</v>
      </c>
      <c r="V51" s="261">
        <f t="shared" si="4"/>
        <v>-17992</v>
      </c>
      <c r="W51">
        <f t="shared" si="5"/>
        <v>-0.02</v>
      </c>
    </row>
    <row r="52" spans="1:23">
      <c r="A52" s="323">
        <v>45840</v>
      </c>
      <c r="B52" s="324" t="s">
        <v>282</v>
      </c>
      <c r="C52" s="324" t="s">
        <v>324</v>
      </c>
      <c r="D52" s="324" t="s">
        <v>242</v>
      </c>
      <c r="E52" s="325">
        <v>-17250</v>
      </c>
      <c r="F52" s="324">
        <v>-0.02</v>
      </c>
      <c r="G52" s="261">
        <f t="shared" si="0"/>
        <v>8625000000</v>
      </c>
      <c r="R52" t="str">
        <f t="shared" si="1"/>
        <v>GDX US 07/18/25 C55</v>
      </c>
      <c r="S52">
        <f t="shared" si="2"/>
        <v>-17250</v>
      </c>
      <c r="T52" s="262">
        <f>IF(R52="","",IF(LEN(R52)&gt;9,SUMIFS(Options!$AZ$3:$AZ$32,Options!$B$3:$B$32,'Check result'!R52),SUMIFS('Master P&amp;L'!$AE$11:$AE$106,'Master P&amp;L'!$B$11:$B$106,'Check result'!R52)))</f>
        <v>0</v>
      </c>
      <c r="U52" s="262">
        <f t="shared" si="3"/>
        <v>0</v>
      </c>
      <c r="V52" s="261">
        <f t="shared" si="4"/>
        <v>-17250</v>
      </c>
      <c r="W52">
        <f t="shared" si="5"/>
        <v>-0.02</v>
      </c>
    </row>
    <row r="53" spans="1:23">
      <c r="A53" s="323">
        <v>45840</v>
      </c>
      <c r="B53" s="324" t="s">
        <v>282</v>
      </c>
      <c r="C53" s="324" t="s">
        <v>317</v>
      </c>
      <c r="D53" s="324" t="s">
        <v>82</v>
      </c>
      <c r="E53" s="325">
        <v>-16945</v>
      </c>
      <c r="F53" s="324">
        <v>-0.01</v>
      </c>
      <c r="G53" s="261">
        <f t="shared" si="0"/>
        <v>16945000000</v>
      </c>
      <c r="R53" t="str">
        <f t="shared" si="1"/>
        <v>TTWO</v>
      </c>
      <c r="S53">
        <f t="shared" si="2"/>
        <v>-16945</v>
      </c>
      <c r="T53" s="262">
        <f>IF(R53="","",IF(LEN(R53)&gt;9,SUMIFS(Options!$AZ$3:$AZ$32,Options!$B$3:$B$32,'Check result'!R53),SUMIFS('Master P&amp;L'!$AE$11:$AE$106,'Master P&amp;L'!$B$11:$B$106,'Check result'!R53)))</f>
        <v>0</v>
      </c>
      <c r="U53" s="262">
        <f t="shared" si="3"/>
        <v>0</v>
      </c>
      <c r="V53" s="261">
        <f t="shared" si="4"/>
        <v>-16945</v>
      </c>
      <c r="W53">
        <f t="shared" si="5"/>
        <v>-0.01</v>
      </c>
    </row>
    <row r="54" spans="1:23">
      <c r="A54" s="323">
        <v>45840</v>
      </c>
      <c r="B54" s="324" t="s">
        <v>282</v>
      </c>
      <c r="C54" s="324" t="s">
        <v>319</v>
      </c>
      <c r="D54" s="324" t="s">
        <v>1807</v>
      </c>
      <c r="E54" s="325">
        <v>-16069</v>
      </c>
      <c r="F54" s="324">
        <v>-0.01</v>
      </c>
      <c r="G54" s="261">
        <f t="shared" si="0"/>
        <v>16069000000</v>
      </c>
      <c r="R54" t="str">
        <f t="shared" si="1"/>
        <v>PINS US 07/18/25 C36</v>
      </c>
      <c r="S54">
        <f t="shared" si="2"/>
        <v>-16069</v>
      </c>
      <c r="T54" s="262">
        <f>IF(R54="","",IF(LEN(R54)&gt;9,SUMIFS(Options!$AZ$3:$AZ$32,Options!$B$3:$B$32,'Check result'!R54),SUMIFS('Master P&amp;L'!$AE$11:$AE$106,'Master P&amp;L'!$B$11:$B$106,'Check result'!R54)))</f>
        <v>0</v>
      </c>
      <c r="U54" s="262">
        <f t="shared" si="3"/>
        <v>0</v>
      </c>
      <c r="V54" s="261">
        <f t="shared" si="4"/>
        <v>-16069</v>
      </c>
      <c r="W54">
        <f t="shared" si="5"/>
        <v>-0.01</v>
      </c>
    </row>
    <row r="55" spans="1:23">
      <c r="A55" s="323">
        <v>45840</v>
      </c>
      <c r="B55" s="324" t="s">
        <v>282</v>
      </c>
      <c r="C55" s="324" t="s">
        <v>319</v>
      </c>
      <c r="D55" s="324" t="s">
        <v>1712</v>
      </c>
      <c r="E55" s="325">
        <v>-13837</v>
      </c>
      <c r="F55" s="324">
        <v>-0.01</v>
      </c>
      <c r="G55" s="261">
        <f t="shared" si="0"/>
        <v>13837000000</v>
      </c>
      <c r="R55" t="str">
        <f t="shared" si="1"/>
        <v>NVDA US 07/18/25 P135</v>
      </c>
      <c r="S55">
        <f t="shared" si="2"/>
        <v>-13837</v>
      </c>
      <c r="T55" s="262">
        <f>IF(R55="","",IF(LEN(R55)&gt;9,SUMIFS(Options!$AZ$3:$AZ$32,Options!$B$3:$B$32,'Check result'!R55),SUMIFS('Master P&amp;L'!$AE$11:$AE$106,'Master P&amp;L'!$B$11:$B$106,'Check result'!R55)))</f>
        <v>0</v>
      </c>
      <c r="U55" s="262">
        <f t="shared" si="3"/>
        <v>0</v>
      </c>
      <c r="V55" s="261">
        <f t="shared" si="4"/>
        <v>-13837</v>
      </c>
      <c r="W55">
        <f t="shared" si="5"/>
        <v>-0.01</v>
      </c>
    </row>
    <row r="56" spans="1:23">
      <c r="A56" s="323">
        <v>45840</v>
      </c>
      <c r="B56" s="324" t="s">
        <v>282</v>
      </c>
      <c r="C56" s="324" t="s">
        <v>320</v>
      </c>
      <c r="D56" s="324" t="s">
        <v>513</v>
      </c>
      <c r="E56" s="325">
        <v>-11755</v>
      </c>
      <c r="F56" s="324">
        <v>-0.01</v>
      </c>
      <c r="G56" s="261">
        <f t="shared" si="0"/>
        <v>11755000000</v>
      </c>
      <c r="R56" t="str">
        <f t="shared" si="1"/>
        <v>EWT</v>
      </c>
      <c r="S56">
        <f t="shared" si="2"/>
        <v>-11755</v>
      </c>
      <c r="T56" s="262">
        <f>IF(R56="","",IF(LEN(R56)&gt;9,SUMIFS(Options!$AZ$3:$AZ$32,Options!$B$3:$B$32,'Check result'!R56),SUMIFS('Master P&amp;L'!$AE$11:$AE$106,'Master P&amp;L'!$B$11:$B$106,'Check result'!R56)))</f>
        <v>0</v>
      </c>
      <c r="U56" s="262">
        <f t="shared" si="3"/>
        <v>0</v>
      </c>
      <c r="V56" s="261">
        <f t="shared" si="4"/>
        <v>-11755</v>
      </c>
      <c r="W56">
        <f t="shared" si="5"/>
        <v>-0.01</v>
      </c>
    </row>
    <row r="57" spans="1:23">
      <c r="A57" s="323">
        <v>45840</v>
      </c>
      <c r="B57" s="324" t="s">
        <v>282</v>
      </c>
      <c r="C57" s="324" t="s">
        <v>319</v>
      </c>
      <c r="D57" s="324" t="s">
        <v>1836</v>
      </c>
      <c r="E57" s="325">
        <v>-11370</v>
      </c>
      <c r="F57" s="324">
        <v>-0.01</v>
      </c>
      <c r="G57" s="261">
        <f t="shared" si="0"/>
        <v>11370000000</v>
      </c>
      <c r="R57" t="str">
        <f t="shared" si="1"/>
        <v>CPNG US 09/19/25 C30</v>
      </c>
      <c r="S57">
        <f t="shared" si="2"/>
        <v>-11370</v>
      </c>
      <c r="T57" s="262">
        <f>IF(R57="","",IF(LEN(R57)&gt;9,SUMIFS(Options!$AZ$3:$AZ$32,Options!$B$3:$B$32,'Check result'!R57),SUMIFS('Master P&amp;L'!$AE$11:$AE$106,'Master P&amp;L'!$B$11:$B$106,'Check result'!R57)))</f>
        <v>0</v>
      </c>
      <c r="U57" s="262">
        <f t="shared" si="3"/>
        <v>0</v>
      </c>
      <c r="V57" s="261">
        <f t="shared" si="4"/>
        <v>-11370</v>
      </c>
      <c r="W57">
        <f t="shared" si="5"/>
        <v>-0.01</v>
      </c>
    </row>
    <row r="58" spans="1:23">
      <c r="A58" s="323">
        <v>45840</v>
      </c>
      <c r="B58" s="324" t="s">
        <v>282</v>
      </c>
      <c r="C58" s="324" t="s">
        <v>324</v>
      </c>
      <c r="D58" s="324" t="s">
        <v>1725</v>
      </c>
      <c r="E58" s="325">
        <v>-10288</v>
      </c>
      <c r="F58" s="324">
        <v>-0.01</v>
      </c>
      <c r="G58" s="261">
        <f t="shared" si="0"/>
        <v>10288000000</v>
      </c>
      <c r="R58" t="str">
        <f t="shared" si="1"/>
        <v>SOXX US 07/18/25 P215</v>
      </c>
      <c r="S58">
        <f t="shared" si="2"/>
        <v>-10288</v>
      </c>
      <c r="T58" s="262">
        <f>IF(R58="","",IF(LEN(R58)&gt;9,SUMIFS(Options!$AZ$3:$AZ$32,Options!$B$3:$B$32,'Check result'!R58),SUMIFS('Master P&amp;L'!$AE$11:$AE$106,'Master P&amp;L'!$B$11:$B$106,'Check result'!R58)))</f>
        <v>0</v>
      </c>
      <c r="U58" s="262">
        <f t="shared" si="3"/>
        <v>0</v>
      </c>
      <c r="V58" s="261">
        <f t="shared" si="4"/>
        <v>-10288</v>
      </c>
      <c r="W58">
        <f t="shared" si="5"/>
        <v>-0.01</v>
      </c>
    </row>
    <row r="59" spans="1:23">
      <c r="A59" s="323">
        <v>45840</v>
      </c>
      <c r="B59" s="324" t="s">
        <v>282</v>
      </c>
      <c r="C59" s="324" t="s">
        <v>319</v>
      </c>
      <c r="D59" s="324" t="s">
        <v>1810</v>
      </c>
      <c r="E59" s="325">
        <v>-10085</v>
      </c>
      <c r="F59" s="324">
        <v>-0.01</v>
      </c>
      <c r="G59" s="261">
        <f t="shared" si="0"/>
        <v>10085000000</v>
      </c>
      <c r="R59" t="str">
        <f t="shared" si="1"/>
        <v>MSFT US 08/15/25 P470</v>
      </c>
      <c r="S59">
        <f t="shared" si="2"/>
        <v>-10085</v>
      </c>
      <c r="T59" s="262">
        <f>IF(R59="","",IF(LEN(R59)&gt;9,SUMIFS(Options!$AZ$3:$AZ$32,Options!$B$3:$B$32,'Check result'!R59),SUMIFS('Master P&amp;L'!$AE$11:$AE$106,'Master P&amp;L'!$B$11:$B$106,'Check result'!R59)))</f>
        <v>0</v>
      </c>
      <c r="U59" s="262">
        <f t="shared" si="3"/>
        <v>0</v>
      </c>
      <c r="V59" s="261">
        <f t="shared" si="4"/>
        <v>-10085</v>
      </c>
      <c r="W59">
        <f t="shared" si="5"/>
        <v>-0.01</v>
      </c>
    </row>
    <row r="60" spans="1:23">
      <c r="A60" s="323">
        <v>45840</v>
      </c>
      <c r="B60" s="324" t="s">
        <v>282</v>
      </c>
      <c r="C60" s="324" t="s">
        <v>319</v>
      </c>
      <c r="D60" s="324" t="s">
        <v>1697</v>
      </c>
      <c r="E60" s="325">
        <v>-9651</v>
      </c>
      <c r="F60" s="324">
        <v>-0.01</v>
      </c>
      <c r="G60" s="261">
        <f t="shared" si="0"/>
        <v>9651000000</v>
      </c>
      <c r="R60" t="str">
        <f t="shared" si="1"/>
        <v>UBER US 07/18/25 C90</v>
      </c>
      <c r="S60">
        <f t="shared" si="2"/>
        <v>-9651</v>
      </c>
      <c r="T60" s="262">
        <f>IF(R60="","",IF(LEN(R60)&gt;9,SUMIFS(Options!$AZ$3:$AZ$32,Options!$B$3:$B$32,'Check result'!R60),SUMIFS('Master P&amp;L'!$AE$11:$AE$106,'Master P&amp;L'!$B$11:$B$106,'Check result'!R60)))</f>
        <v>0</v>
      </c>
      <c r="U60" s="262">
        <f t="shared" si="3"/>
        <v>0</v>
      </c>
      <c r="V60" s="261">
        <f t="shared" si="4"/>
        <v>-9651</v>
      </c>
      <c r="W60">
        <f t="shared" si="5"/>
        <v>-0.01</v>
      </c>
    </row>
    <row r="61" spans="1:23">
      <c r="A61" s="323">
        <v>45840</v>
      </c>
      <c r="B61" s="324" t="s">
        <v>282</v>
      </c>
      <c r="C61" s="324" t="s">
        <v>317</v>
      </c>
      <c r="D61" s="324" t="s">
        <v>86</v>
      </c>
      <c r="E61" s="325">
        <v>-9135</v>
      </c>
      <c r="F61" s="324">
        <v>-0.01</v>
      </c>
      <c r="G61" s="261">
        <f t="shared" si="0"/>
        <v>9135000000</v>
      </c>
      <c r="R61" t="str">
        <f t="shared" si="1"/>
        <v>MA</v>
      </c>
      <c r="S61">
        <f t="shared" si="2"/>
        <v>-9135</v>
      </c>
      <c r="T61" s="262">
        <f>IF(R61="","",IF(LEN(R61)&gt;9,SUMIFS(Options!$AZ$3:$AZ$32,Options!$B$3:$B$32,'Check result'!R61),SUMIFS('Master P&amp;L'!$AE$11:$AE$106,'Master P&amp;L'!$B$11:$B$106,'Check result'!R61)))</f>
        <v>0</v>
      </c>
      <c r="U61" s="262">
        <f t="shared" si="3"/>
        <v>0</v>
      </c>
      <c r="V61" s="261">
        <f t="shared" si="4"/>
        <v>-9135</v>
      </c>
      <c r="W61">
        <f t="shared" si="5"/>
        <v>-0.01</v>
      </c>
    </row>
    <row r="62" spans="1:23">
      <c r="A62" s="323">
        <v>45840</v>
      </c>
      <c r="B62" s="324" t="s">
        <v>282</v>
      </c>
      <c r="C62" s="324" t="s">
        <v>477</v>
      </c>
      <c r="D62" s="324" t="s">
        <v>1772</v>
      </c>
      <c r="E62" s="325">
        <v>-8852</v>
      </c>
      <c r="F62" s="324">
        <v>-0.01</v>
      </c>
      <c r="G62" s="261">
        <f t="shared" si="0"/>
        <v>8852000000</v>
      </c>
      <c r="R62" t="str">
        <f t="shared" si="1"/>
        <v>CHINAGOV 06/20/30</v>
      </c>
      <c r="S62">
        <f t="shared" si="2"/>
        <v>-8852</v>
      </c>
      <c r="T62" s="262">
        <f>IF(R62="","",IF(LEN(R62)&gt;9,SUMIFS(Options!$AZ$3:$AZ$32,Options!$B$3:$B$32,'Check result'!R62),SUMIFS('Master P&amp;L'!$AE$11:$AE$106,'Master P&amp;L'!$B$11:$B$106,'Check result'!R62)))</f>
        <v>0</v>
      </c>
      <c r="U62" s="262">
        <f t="shared" si="3"/>
        <v>0</v>
      </c>
      <c r="V62" s="261">
        <f t="shared" si="4"/>
        <v>-8852</v>
      </c>
      <c r="W62">
        <f t="shared" si="5"/>
        <v>-0.01</v>
      </c>
    </row>
    <row r="63" spans="1:23">
      <c r="A63" s="323">
        <v>45840</v>
      </c>
      <c r="B63" s="324" t="s">
        <v>282</v>
      </c>
      <c r="C63" s="324" t="s">
        <v>327</v>
      </c>
      <c r="D63" s="324" t="s">
        <v>1688</v>
      </c>
      <c r="E63" s="325">
        <v>-8458</v>
      </c>
      <c r="F63" s="324">
        <v>-0.01</v>
      </c>
      <c r="G63" s="261">
        <f t="shared" si="0"/>
        <v>8458000000</v>
      </c>
      <c r="R63" t="str">
        <f t="shared" si="1"/>
        <v>TEVA US 07/18/25 C19</v>
      </c>
      <c r="S63">
        <f t="shared" si="2"/>
        <v>-8458</v>
      </c>
      <c r="T63" s="262">
        <f>IF(R63="","",IF(LEN(R63)&gt;9,SUMIFS(Options!$AZ$3:$AZ$32,Options!$B$3:$B$32,'Check result'!R63),SUMIFS('Master P&amp;L'!$AE$11:$AE$106,'Master P&amp;L'!$B$11:$B$106,'Check result'!R63)))</f>
        <v>0</v>
      </c>
      <c r="U63" s="262">
        <f t="shared" si="3"/>
        <v>0</v>
      </c>
      <c r="V63" s="261">
        <f t="shared" si="4"/>
        <v>-8458</v>
      </c>
      <c r="W63">
        <f t="shared" si="5"/>
        <v>-0.01</v>
      </c>
    </row>
    <row r="64" spans="1:23">
      <c r="A64" s="323">
        <v>45840</v>
      </c>
      <c r="B64" s="324" t="s">
        <v>282</v>
      </c>
      <c r="C64" s="324" t="s">
        <v>319</v>
      </c>
      <c r="D64" s="324" t="s">
        <v>1706</v>
      </c>
      <c r="E64" s="325">
        <v>-8344</v>
      </c>
      <c r="F64" s="324">
        <v>-0.01</v>
      </c>
      <c r="G64" s="261">
        <f t="shared" si="0"/>
        <v>8344000000</v>
      </c>
      <c r="R64" t="str">
        <f t="shared" si="1"/>
        <v>MSFT US 07/18/25 P455</v>
      </c>
      <c r="S64">
        <f t="shared" si="2"/>
        <v>-8344</v>
      </c>
      <c r="T64" s="262">
        <f>IF(R64="","",IF(LEN(R64)&gt;9,SUMIFS(Options!$AZ$3:$AZ$32,Options!$B$3:$B$32,'Check result'!R64),SUMIFS('Master P&amp;L'!$AE$11:$AE$106,'Master P&amp;L'!$B$11:$B$106,'Check result'!R64)))</f>
        <v>0</v>
      </c>
      <c r="U64" s="262">
        <f t="shared" si="3"/>
        <v>0</v>
      </c>
      <c r="V64" s="261">
        <f t="shared" si="4"/>
        <v>-8344</v>
      </c>
      <c r="W64">
        <f t="shared" si="5"/>
        <v>-0.01</v>
      </c>
    </row>
    <row r="65" spans="1:23">
      <c r="A65" s="323">
        <v>45840</v>
      </c>
      <c r="B65" s="324" t="s">
        <v>282</v>
      </c>
      <c r="C65" s="324" t="s">
        <v>324</v>
      </c>
      <c r="D65" s="324" t="s">
        <v>1730</v>
      </c>
      <c r="E65" s="325">
        <v>-7523</v>
      </c>
      <c r="F65" s="324">
        <v>-0.01</v>
      </c>
      <c r="G65" s="261">
        <f t="shared" si="0"/>
        <v>7523000000</v>
      </c>
      <c r="R65" t="str">
        <f t="shared" si="1"/>
        <v>XLF US 07/18/25 P48</v>
      </c>
      <c r="S65">
        <f t="shared" si="2"/>
        <v>-7523</v>
      </c>
      <c r="T65" s="262">
        <f>IF(R65="","",IF(LEN(R65)&gt;9,SUMIFS(Options!$AZ$3:$AZ$32,Options!$B$3:$B$32,'Check result'!R65),SUMIFS('Master P&amp;L'!$AE$11:$AE$106,'Master P&amp;L'!$B$11:$B$106,'Check result'!R65)))</f>
        <v>0</v>
      </c>
      <c r="U65" s="262">
        <f t="shared" si="3"/>
        <v>0</v>
      </c>
      <c r="V65" s="261">
        <f t="shared" si="4"/>
        <v>-7523</v>
      </c>
      <c r="W65">
        <f t="shared" si="5"/>
        <v>-0.01</v>
      </c>
    </row>
    <row r="66" spans="1:23">
      <c r="A66" s="323">
        <v>45840</v>
      </c>
      <c r="B66" s="324" t="s">
        <v>282</v>
      </c>
      <c r="C66" s="324" t="s">
        <v>319</v>
      </c>
      <c r="D66" s="324" t="s">
        <v>1745</v>
      </c>
      <c r="E66" s="325">
        <v>-6029</v>
      </c>
      <c r="F66" s="324">
        <v>-0.01</v>
      </c>
      <c r="G66" s="261">
        <f t="shared" si="0"/>
        <v>6029000000</v>
      </c>
      <c r="R66" t="str">
        <f t="shared" si="1"/>
        <v>MSFT US 07/18/25 P465</v>
      </c>
      <c r="S66">
        <f t="shared" si="2"/>
        <v>-6029</v>
      </c>
      <c r="T66" s="262">
        <f>IF(R66="","",IF(LEN(R66)&gt;9,SUMIFS(Options!$AZ$3:$AZ$32,Options!$B$3:$B$32,'Check result'!R66),SUMIFS('Master P&amp;L'!$AE$11:$AE$106,'Master P&amp;L'!$B$11:$B$106,'Check result'!R66)))</f>
        <v>0</v>
      </c>
      <c r="U66" s="262">
        <f t="shared" si="3"/>
        <v>0</v>
      </c>
      <c r="V66" s="261">
        <f t="shared" si="4"/>
        <v>-6029</v>
      </c>
      <c r="W66">
        <f t="shared" si="5"/>
        <v>-0.01</v>
      </c>
    </row>
    <row r="67" spans="1:23">
      <c r="A67" s="323">
        <v>45840</v>
      </c>
      <c r="B67" s="324" t="s">
        <v>282</v>
      </c>
      <c r="C67" s="324" t="s">
        <v>324</v>
      </c>
      <c r="D67" s="324" t="s">
        <v>1773</v>
      </c>
      <c r="E67" s="325">
        <v>-6029</v>
      </c>
      <c r="F67" s="324">
        <v>-0.01</v>
      </c>
      <c r="G67" s="261">
        <f t="shared" ref="G67:G130" si="6">+E67/F67*10000</f>
        <v>6029000000</v>
      </c>
      <c r="R67" t="str">
        <f t="shared" ref="R67:R88" si="7">D67</f>
        <v>GLD US 07/18/25 C325</v>
      </c>
      <c r="S67">
        <f t="shared" ref="S67:S112" si="8">VLOOKUP(R67,$D$2:$F$156,2,FALSE)</f>
        <v>-6029</v>
      </c>
      <c r="T67" s="262">
        <f>IF(R67="","",IF(LEN(R67)&gt;9,SUMIFS(Options!$AZ$3:$AZ$32,Options!$B$3:$B$32,'Check result'!R67),SUMIFS('Master P&amp;L'!$AE$11:$AE$106,'Master P&amp;L'!$B$11:$B$106,'Check result'!R67)))</f>
        <v>0</v>
      </c>
      <c r="U67" s="262">
        <f t="shared" ref="U67:U112" si="9">T67/2</f>
        <v>0</v>
      </c>
      <c r="V67" s="261">
        <f t="shared" ref="V67:V112" si="10">+S67-U67</f>
        <v>-6029</v>
      </c>
      <c r="W67">
        <f t="shared" ref="W67:W112" si="11">+V67/G67*10000</f>
        <v>-0.01</v>
      </c>
    </row>
    <row r="68" spans="1:23">
      <c r="A68" s="323">
        <v>45840</v>
      </c>
      <c r="B68" s="324" t="s">
        <v>282</v>
      </c>
      <c r="C68" s="324" t="s">
        <v>319</v>
      </c>
      <c r="D68" s="324" t="s">
        <v>234</v>
      </c>
      <c r="E68" s="325">
        <v>-5618</v>
      </c>
      <c r="F68" s="324">
        <v>0</v>
      </c>
      <c r="G68" s="261" t="e">
        <f t="shared" si="6"/>
        <v>#DIV/0!</v>
      </c>
      <c r="R68" t="str">
        <f t="shared" si="7"/>
        <v>INTC US 12/19/25 P10</v>
      </c>
      <c r="S68">
        <f t="shared" si="8"/>
        <v>-5618</v>
      </c>
      <c r="T68" s="262">
        <f>IF(R68="","",IF(LEN(R68)&gt;9,SUMIFS(Options!$AZ$3:$AZ$32,Options!$B$3:$B$32,'Check result'!R68),SUMIFS('Master P&amp;L'!$AE$11:$AE$106,'Master P&amp;L'!$B$11:$B$106,'Check result'!R68)))</f>
        <v>0</v>
      </c>
      <c r="U68" s="262">
        <f t="shared" si="9"/>
        <v>0</v>
      </c>
      <c r="V68" s="261">
        <f t="shared" si="10"/>
        <v>-5618</v>
      </c>
      <c r="W68" t="e">
        <f t="shared" si="11"/>
        <v>#DIV/0!</v>
      </c>
    </row>
    <row r="69" spans="1:23">
      <c r="A69" s="323">
        <v>45840</v>
      </c>
      <c r="B69" s="324" t="s">
        <v>282</v>
      </c>
      <c r="C69" s="324" t="s">
        <v>319</v>
      </c>
      <c r="D69" s="324" t="s">
        <v>1795</v>
      </c>
      <c r="E69" s="325">
        <v>-5612</v>
      </c>
      <c r="F69" s="324">
        <v>0</v>
      </c>
      <c r="G69" s="261" t="e">
        <f t="shared" si="6"/>
        <v>#DIV/0!</v>
      </c>
      <c r="R69" t="str">
        <f t="shared" si="7"/>
        <v>MSFT US 08/15/25 P460</v>
      </c>
      <c r="S69">
        <f t="shared" si="8"/>
        <v>-5612</v>
      </c>
      <c r="T69" s="262">
        <f>IF(R69="","",IF(LEN(R69)&gt;9,SUMIFS(Options!$AZ$3:$AZ$32,Options!$B$3:$B$32,'Check result'!R69),SUMIFS('Master P&amp;L'!$AE$11:$AE$106,'Master P&amp;L'!$B$11:$B$106,'Check result'!R69)))</f>
        <v>0</v>
      </c>
      <c r="U69" s="262">
        <f t="shared" si="9"/>
        <v>0</v>
      </c>
      <c r="V69" s="261">
        <f t="shared" si="10"/>
        <v>-5612</v>
      </c>
      <c r="W69" t="e">
        <f t="shared" si="11"/>
        <v>#DIV/0!</v>
      </c>
    </row>
    <row r="70" spans="1:23">
      <c r="A70" s="323">
        <v>45840</v>
      </c>
      <c r="B70" s="324" t="s">
        <v>282</v>
      </c>
      <c r="C70" s="324" t="s">
        <v>319</v>
      </c>
      <c r="D70" s="324" t="s">
        <v>1800</v>
      </c>
      <c r="E70" s="325">
        <v>-3475</v>
      </c>
      <c r="F70" s="324">
        <v>0</v>
      </c>
      <c r="G70" s="261" t="e">
        <f t="shared" si="6"/>
        <v>#DIV/0!</v>
      </c>
      <c r="R70" t="str">
        <f t="shared" si="7"/>
        <v>MU US 07/18/25 C140</v>
      </c>
      <c r="S70">
        <f t="shared" si="8"/>
        <v>-3475</v>
      </c>
      <c r="T70" s="262">
        <f>IF(R70="","",IF(LEN(R70)&gt;9,SUMIFS(Options!$AZ$3:$AZ$32,Options!$B$3:$B$32,'Check result'!R70),SUMIFS('Master P&amp;L'!$AE$11:$AE$106,'Master P&amp;L'!$B$11:$B$106,'Check result'!R70)))</f>
        <v>0</v>
      </c>
      <c r="U70" s="262">
        <f t="shared" si="9"/>
        <v>0</v>
      </c>
      <c r="V70" s="261">
        <f t="shared" si="10"/>
        <v>-3475</v>
      </c>
      <c r="W70" t="e">
        <f t="shared" si="11"/>
        <v>#DIV/0!</v>
      </c>
    </row>
    <row r="71" spans="1:23">
      <c r="A71" s="323">
        <v>45840</v>
      </c>
      <c r="B71" s="324" t="s">
        <v>282</v>
      </c>
      <c r="C71" s="324" t="s">
        <v>317</v>
      </c>
      <c r="D71" s="324" t="s">
        <v>1803</v>
      </c>
      <c r="E71" s="325">
        <v>-2977</v>
      </c>
      <c r="F71" s="324">
        <v>0</v>
      </c>
      <c r="G71" s="261" t="e">
        <f t="shared" si="6"/>
        <v>#DIV/0!</v>
      </c>
      <c r="R71" t="str">
        <f t="shared" si="7"/>
        <v>KKR</v>
      </c>
      <c r="S71">
        <f t="shared" si="8"/>
        <v>-2977</v>
      </c>
      <c r="T71" s="262">
        <f>IF(R71="","",IF(LEN(R71)&gt;9,SUMIFS(Options!$AZ$3:$AZ$32,Options!$B$3:$B$32,'Check result'!R71),SUMIFS('Master P&amp;L'!$AE$11:$AE$106,'Master P&amp;L'!$B$11:$B$106,'Check result'!R71)))</f>
        <v>0</v>
      </c>
      <c r="U71" s="262">
        <f t="shared" si="9"/>
        <v>0</v>
      </c>
      <c r="V71" s="261">
        <f t="shared" si="10"/>
        <v>-2977</v>
      </c>
      <c r="W71" t="e">
        <f t="shared" si="11"/>
        <v>#DIV/0!</v>
      </c>
    </row>
    <row r="72" spans="1:23">
      <c r="A72" s="323">
        <v>45840</v>
      </c>
      <c r="B72" s="324" t="s">
        <v>282</v>
      </c>
      <c r="C72" s="324" t="s">
        <v>319</v>
      </c>
      <c r="D72" s="324" t="s">
        <v>1752</v>
      </c>
      <c r="E72" s="325">
        <v>-2451</v>
      </c>
      <c r="F72" s="324">
        <v>0</v>
      </c>
      <c r="G72" s="261" t="e">
        <f t="shared" si="6"/>
        <v>#DIV/0!</v>
      </c>
      <c r="R72" t="str">
        <f t="shared" si="7"/>
        <v>MU US 07/18/25 C135</v>
      </c>
      <c r="S72">
        <f t="shared" si="8"/>
        <v>-2451</v>
      </c>
      <c r="T72" s="262">
        <f>IF(R72="","",IF(LEN(R72)&gt;9,SUMIFS(Options!$AZ$3:$AZ$32,Options!$B$3:$B$32,'Check result'!R72),SUMIFS('Master P&amp;L'!$AE$11:$AE$106,'Master P&amp;L'!$B$11:$B$106,'Check result'!R72)))</f>
        <v>0</v>
      </c>
      <c r="U72" s="262">
        <f t="shared" si="9"/>
        <v>0</v>
      </c>
      <c r="V72" s="261">
        <f t="shared" si="10"/>
        <v>-2451</v>
      </c>
      <c r="W72" t="e">
        <f t="shared" si="11"/>
        <v>#DIV/0!</v>
      </c>
    </row>
    <row r="73" spans="1:23">
      <c r="A73" s="323">
        <v>45840</v>
      </c>
      <c r="B73" s="324" t="s">
        <v>282</v>
      </c>
      <c r="C73" s="324" t="s">
        <v>319</v>
      </c>
      <c r="D73" s="324" t="s">
        <v>1748</v>
      </c>
      <c r="E73" s="325">
        <v>-2120</v>
      </c>
      <c r="F73" s="324">
        <v>0</v>
      </c>
      <c r="G73" s="261" t="e">
        <f t="shared" si="6"/>
        <v>#DIV/0!</v>
      </c>
      <c r="R73" t="str">
        <f t="shared" si="7"/>
        <v>META US 07/18/25 P655</v>
      </c>
      <c r="S73">
        <f t="shared" si="8"/>
        <v>-2120</v>
      </c>
      <c r="T73" s="262">
        <f>IF(R73="","",IF(LEN(R73)&gt;9,SUMIFS(Options!$AZ$3:$AZ$32,Options!$B$3:$B$32,'Check result'!R73),SUMIFS('Master P&amp;L'!$AE$11:$AE$106,'Master P&amp;L'!$B$11:$B$106,'Check result'!R73)))</f>
        <v>0</v>
      </c>
      <c r="U73" s="262">
        <f t="shared" si="9"/>
        <v>0</v>
      </c>
      <c r="V73" s="261">
        <f t="shared" si="10"/>
        <v>-2120</v>
      </c>
      <c r="W73" t="e">
        <f t="shared" si="11"/>
        <v>#DIV/0!</v>
      </c>
    </row>
    <row r="74" spans="1:23">
      <c r="A74" s="323">
        <v>45840</v>
      </c>
      <c r="B74" s="324" t="s">
        <v>282</v>
      </c>
      <c r="C74" s="324" t="s">
        <v>324</v>
      </c>
      <c r="D74" s="324" t="s">
        <v>1797</v>
      </c>
      <c r="E74" s="325">
        <v>-1937</v>
      </c>
      <c r="F74" s="324">
        <v>0</v>
      </c>
      <c r="G74" s="261" t="e">
        <f t="shared" si="6"/>
        <v>#DIV/0!</v>
      </c>
      <c r="R74" t="str">
        <f t="shared" si="7"/>
        <v>XLF US 07/18/25 P49</v>
      </c>
      <c r="S74">
        <f t="shared" si="8"/>
        <v>-1937</v>
      </c>
      <c r="T74" s="262">
        <f>IF(R74="","",IF(LEN(R74)&gt;9,SUMIFS(Options!$AZ$3:$AZ$32,Options!$B$3:$B$32,'Check result'!R74),SUMIFS('Master P&amp;L'!$AE$11:$AE$106,'Master P&amp;L'!$B$11:$B$106,'Check result'!R74)))</f>
        <v>0</v>
      </c>
      <c r="U74" s="262">
        <f t="shared" si="9"/>
        <v>0</v>
      </c>
      <c r="V74" s="261">
        <f t="shared" si="10"/>
        <v>-1937</v>
      </c>
      <c r="W74" t="e">
        <f t="shared" si="11"/>
        <v>#DIV/0!</v>
      </c>
    </row>
    <row r="75" spans="1:23">
      <c r="A75" s="323">
        <v>45840</v>
      </c>
      <c r="B75" s="324" t="s">
        <v>282</v>
      </c>
      <c r="C75" s="324" t="s">
        <v>319</v>
      </c>
      <c r="D75" s="324" t="s">
        <v>1837</v>
      </c>
      <c r="E75" s="325">
        <v>-1895</v>
      </c>
      <c r="F75" s="324">
        <v>0</v>
      </c>
      <c r="G75" s="261" t="e">
        <f t="shared" si="6"/>
        <v>#DIV/0!</v>
      </c>
      <c r="R75" t="str">
        <f t="shared" si="7"/>
        <v>CPNG US 09/19/25 C33</v>
      </c>
      <c r="S75">
        <f t="shared" si="8"/>
        <v>-1895</v>
      </c>
      <c r="T75" s="262">
        <f>IF(R75="","",IF(LEN(R75)&gt;9,SUMIFS(Options!$AZ$3:$AZ$32,Options!$B$3:$B$32,'Check result'!R75),SUMIFS('Master P&amp;L'!$AE$11:$AE$106,'Master P&amp;L'!$B$11:$B$106,'Check result'!R75)))</f>
        <v>0</v>
      </c>
      <c r="U75" s="262">
        <f t="shared" si="9"/>
        <v>0</v>
      </c>
      <c r="V75" s="261">
        <f t="shared" si="10"/>
        <v>-1895</v>
      </c>
      <c r="W75" t="e">
        <f t="shared" si="11"/>
        <v>#DIV/0!</v>
      </c>
    </row>
    <row r="76" spans="1:23">
      <c r="A76" s="323">
        <v>45840</v>
      </c>
      <c r="B76" s="324" t="s">
        <v>282</v>
      </c>
      <c r="C76" s="324" t="s">
        <v>324</v>
      </c>
      <c r="D76" s="324" t="s">
        <v>1789</v>
      </c>
      <c r="E76" s="325">
        <v>-1518</v>
      </c>
      <c r="F76" s="324">
        <v>0</v>
      </c>
      <c r="G76" s="261" t="e">
        <f t="shared" si="6"/>
        <v>#DIV/0!</v>
      </c>
      <c r="R76" t="str">
        <f t="shared" si="7"/>
        <v>QQQ US 07/03/25 P525</v>
      </c>
      <c r="S76">
        <f t="shared" si="8"/>
        <v>-1518</v>
      </c>
      <c r="T76" s="262">
        <f>IF(R76="","",IF(LEN(R76)&gt;9,SUMIFS(Options!$AZ$3:$AZ$32,Options!$B$3:$B$32,'Check result'!R76),SUMIFS('Master P&amp;L'!$AE$11:$AE$106,'Master P&amp;L'!$B$11:$B$106,'Check result'!R76)))</f>
        <v>0</v>
      </c>
      <c r="U76" s="262">
        <f t="shared" si="9"/>
        <v>0</v>
      </c>
      <c r="V76" s="261">
        <f t="shared" si="10"/>
        <v>-1518</v>
      </c>
      <c r="W76" t="e">
        <f t="shared" si="11"/>
        <v>#DIV/0!</v>
      </c>
    </row>
    <row r="77" spans="1:23">
      <c r="A77" s="323">
        <v>45840</v>
      </c>
      <c r="B77" s="324" t="s">
        <v>282</v>
      </c>
      <c r="C77" s="324" t="s">
        <v>319</v>
      </c>
      <c r="D77" s="324" t="s">
        <v>1783</v>
      </c>
      <c r="E77" s="324">
        <v>-640</v>
      </c>
      <c r="F77" s="324">
        <v>0</v>
      </c>
      <c r="G77" s="261" t="e">
        <f t="shared" si="6"/>
        <v>#DIV/0!</v>
      </c>
      <c r="R77" t="str">
        <f t="shared" si="7"/>
        <v>V US 07/11/25 P335</v>
      </c>
      <c r="S77">
        <f t="shared" si="8"/>
        <v>-640</v>
      </c>
      <c r="T77" s="262">
        <f>IF(R77="","",IF(LEN(R77)&gt;9,SUMIFS(Options!$AZ$3:$AZ$32,Options!$B$3:$B$32,'Check result'!R77),SUMIFS('Master P&amp;L'!$AE$11:$AE$106,'Master P&amp;L'!$B$11:$B$106,'Check result'!R77)))</f>
        <v>0</v>
      </c>
      <c r="U77" s="262">
        <f t="shared" si="9"/>
        <v>0</v>
      </c>
      <c r="V77" s="261">
        <f t="shared" si="10"/>
        <v>-640</v>
      </c>
      <c r="W77" t="e">
        <f t="shared" si="11"/>
        <v>#DIV/0!</v>
      </c>
    </row>
    <row r="78" spans="1:23">
      <c r="A78" s="323">
        <v>45840</v>
      </c>
      <c r="B78" s="324" t="s">
        <v>282</v>
      </c>
      <c r="C78" s="324" t="s">
        <v>327</v>
      </c>
      <c r="D78" s="324" t="s">
        <v>1705</v>
      </c>
      <c r="E78" s="324">
        <v>-530</v>
      </c>
      <c r="F78" s="324">
        <v>0</v>
      </c>
      <c r="G78" s="261" t="e">
        <f t="shared" si="6"/>
        <v>#DIV/0!</v>
      </c>
      <c r="R78" t="str">
        <f t="shared" si="7"/>
        <v>TEVA US 07/18/25 C20</v>
      </c>
      <c r="S78">
        <f t="shared" si="8"/>
        <v>-530</v>
      </c>
      <c r="T78" s="262">
        <f>IF(R78="","",IF(LEN(R78)&gt;9,SUMIFS(Options!$AZ$3:$AZ$32,Options!$B$3:$B$32,'Check result'!R78),SUMIFS('Master P&amp;L'!$AE$11:$AE$106,'Master P&amp;L'!$B$11:$B$106,'Check result'!R78)))</f>
        <v>0</v>
      </c>
      <c r="U78" s="262">
        <f t="shared" si="9"/>
        <v>0</v>
      </c>
      <c r="V78" s="261">
        <f t="shared" si="10"/>
        <v>-530</v>
      </c>
      <c r="W78" t="e">
        <f t="shared" si="11"/>
        <v>#DIV/0!</v>
      </c>
    </row>
    <row r="79" spans="1:23">
      <c r="A79" s="323">
        <v>45840</v>
      </c>
      <c r="B79" s="324" t="s">
        <v>282</v>
      </c>
      <c r="C79" s="324" t="s">
        <v>321</v>
      </c>
      <c r="D79" s="324" t="s">
        <v>296</v>
      </c>
      <c r="E79" s="324">
        <v>-417</v>
      </c>
      <c r="F79" s="324">
        <v>0</v>
      </c>
      <c r="G79" s="261" t="e">
        <f t="shared" si="6"/>
        <v>#DIV/0!</v>
      </c>
      <c r="R79" t="str">
        <f t="shared" si="7"/>
        <v>Cash CHF</v>
      </c>
      <c r="S79">
        <f t="shared" si="8"/>
        <v>-417</v>
      </c>
      <c r="T79" s="262">
        <f>IF(R79="","",IF(LEN(R79)&gt;9,SUMIFS(Options!$AZ$3:$AZ$32,Options!$B$3:$B$32,'Check result'!R79),SUMIFS('Master P&amp;L'!$AE$11:$AE$106,'Master P&amp;L'!$B$11:$B$106,'Check result'!R79)))</f>
        <v>0</v>
      </c>
      <c r="U79" s="262">
        <f t="shared" si="9"/>
        <v>0</v>
      </c>
      <c r="V79" s="261">
        <f t="shared" si="10"/>
        <v>-417</v>
      </c>
      <c r="W79" t="e">
        <f t="shared" si="11"/>
        <v>#DIV/0!</v>
      </c>
    </row>
    <row r="80" spans="1:23">
      <c r="A80" s="323">
        <v>45840</v>
      </c>
      <c r="B80" s="324" t="s">
        <v>282</v>
      </c>
      <c r="C80" s="324" t="s">
        <v>319</v>
      </c>
      <c r="D80" s="324" t="s">
        <v>1718</v>
      </c>
      <c r="E80" s="324">
        <v>-255</v>
      </c>
      <c r="F80" s="324">
        <v>0</v>
      </c>
      <c r="G80" s="261" t="e">
        <f t="shared" si="6"/>
        <v>#DIV/0!</v>
      </c>
      <c r="R80" t="str">
        <f t="shared" si="7"/>
        <v>META US 07/18/25 P645</v>
      </c>
      <c r="S80">
        <f t="shared" si="8"/>
        <v>-255</v>
      </c>
      <c r="T80" s="262">
        <f>IF(R80="","",IF(LEN(R80)&gt;9,SUMIFS(Options!$AZ$3:$AZ$32,Options!$B$3:$B$32,'Check result'!R80),SUMIFS('Master P&amp;L'!$AE$11:$AE$106,'Master P&amp;L'!$B$11:$B$106,'Check result'!R80)))</f>
        <v>0</v>
      </c>
      <c r="U80" s="262">
        <f t="shared" si="9"/>
        <v>0</v>
      </c>
      <c r="V80" s="261">
        <f t="shared" si="10"/>
        <v>-255</v>
      </c>
      <c r="W80" t="e">
        <f t="shared" si="11"/>
        <v>#DIV/0!</v>
      </c>
    </row>
    <row r="81" spans="1:23">
      <c r="A81" s="323">
        <v>45840</v>
      </c>
      <c r="B81" s="324" t="s">
        <v>282</v>
      </c>
      <c r="C81" s="324" t="s">
        <v>321</v>
      </c>
      <c r="D81" s="324" t="s">
        <v>295</v>
      </c>
      <c r="E81" s="324">
        <v>0</v>
      </c>
      <c r="F81" s="324">
        <v>0</v>
      </c>
      <c r="G81" s="261" t="e">
        <f t="shared" si="6"/>
        <v>#DIV/0!</v>
      </c>
      <c r="R81" t="str">
        <f t="shared" si="7"/>
        <v>Cash CAD</v>
      </c>
      <c r="S81">
        <f t="shared" si="8"/>
        <v>0</v>
      </c>
      <c r="T81" s="262">
        <f>IF(R81="","",IF(LEN(R81)&gt;9,SUMIFS(Options!$AZ$3:$AZ$32,Options!$B$3:$B$32,'Check result'!R81),SUMIFS('Master P&amp;L'!$AE$11:$AE$106,'Master P&amp;L'!$B$11:$B$106,'Check result'!R81)))</f>
        <v>0</v>
      </c>
      <c r="U81" s="262">
        <f t="shared" si="9"/>
        <v>0</v>
      </c>
      <c r="V81" s="261">
        <f t="shared" si="10"/>
        <v>0</v>
      </c>
      <c r="W81" t="e">
        <f t="shared" si="11"/>
        <v>#DIV/0!</v>
      </c>
    </row>
    <row r="82" spans="1:23">
      <c r="A82" s="323">
        <v>45840</v>
      </c>
      <c r="B82" s="324" t="s">
        <v>282</v>
      </c>
      <c r="C82" s="324" t="s">
        <v>319</v>
      </c>
      <c r="D82" s="324" t="s">
        <v>1822</v>
      </c>
      <c r="E82" s="324">
        <v>0</v>
      </c>
      <c r="F82" s="324">
        <v>0</v>
      </c>
      <c r="G82" s="261" t="e">
        <f t="shared" si="6"/>
        <v>#DIV/0!</v>
      </c>
      <c r="R82" t="str">
        <f t="shared" si="7"/>
        <v>MU US 07/03/25 C140</v>
      </c>
      <c r="S82">
        <f t="shared" si="8"/>
        <v>0</v>
      </c>
      <c r="T82" s="262">
        <f>IF(R82="","",IF(LEN(R82)&gt;9,SUMIFS(Options!$AZ$3:$AZ$32,Options!$B$3:$B$32,'Check result'!R82),SUMIFS('Master P&amp;L'!$AE$11:$AE$106,'Master P&amp;L'!$B$11:$B$106,'Check result'!R82)))</f>
        <v>0</v>
      </c>
      <c r="U82" s="262">
        <f t="shared" si="9"/>
        <v>0</v>
      </c>
      <c r="V82" s="261">
        <f t="shared" si="10"/>
        <v>0</v>
      </c>
      <c r="W82" t="e">
        <f t="shared" si="11"/>
        <v>#DIV/0!</v>
      </c>
    </row>
    <row r="83" spans="1:23">
      <c r="A83" s="323">
        <v>45840</v>
      </c>
      <c r="B83" s="324" t="s">
        <v>282</v>
      </c>
      <c r="C83" s="324" t="s">
        <v>318</v>
      </c>
      <c r="D83" s="324" t="s">
        <v>1777</v>
      </c>
      <c r="E83" s="324">
        <v>0</v>
      </c>
      <c r="F83" s="324">
        <v>0</v>
      </c>
      <c r="G83" s="261" t="e">
        <f t="shared" si="6"/>
        <v>#DIV/0!</v>
      </c>
      <c r="R83" t="str">
        <f t="shared" si="7"/>
        <v>TTE DIVIDEND_</v>
      </c>
      <c r="S83">
        <f t="shared" si="8"/>
        <v>0</v>
      </c>
      <c r="T83" s="262">
        <f>IF(R83="","",IF(LEN(R83)&gt;9,SUMIFS(Options!$AZ$3:$AZ$32,Options!$B$3:$B$32,'Check result'!R83),SUMIFS('Master P&amp;L'!$AE$11:$AE$106,'Master P&amp;L'!$B$11:$B$106,'Check result'!R83)))</f>
        <v>0</v>
      </c>
      <c r="U83" s="262">
        <f t="shared" si="9"/>
        <v>0</v>
      </c>
      <c r="V83" s="261">
        <f t="shared" si="10"/>
        <v>0</v>
      </c>
      <c r="W83" t="e">
        <f t="shared" si="11"/>
        <v>#DIV/0!</v>
      </c>
    </row>
    <row r="84" spans="1:23">
      <c r="A84" s="323">
        <v>45840</v>
      </c>
      <c r="B84" s="324" t="s">
        <v>282</v>
      </c>
      <c r="C84" s="324" t="s">
        <v>318</v>
      </c>
      <c r="D84" s="324" t="s">
        <v>1757</v>
      </c>
      <c r="E84" s="324">
        <v>0</v>
      </c>
      <c r="F84" s="324">
        <v>0</v>
      </c>
      <c r="G84" s="261" t="e">
        <f t="shared" si="6"/>
        <v>#DIV/0!</v>
      </c>
      <c r="R84" t="str">
        <f t="shared" si="7"/>
        <v>NVDA DIVIDEND_</v>
      </c>
      <c r="S84">
        <f t="shared" si="8"/>
        <v>0</v>
      </c>
      <c r="T84" s="262">
        <f>IF(R84="","",IF(LEN(R84)&gt;9,SUMIFS(Options!$AZ$3:$AZ$32,Options!$B$3:$B$32,'Check result'!R84),SUMIFS('Master P&amp;L'!$AE$11:$AE$106,'Master P&amp;L'!$B$11:$B$106,'Check result'!R84)))</f>
        <v>0</v>
      </c>
      <c r="U84" s="262">
        <f t="shared" si="9"/>
        <v>0</v>
      </c>
      <c r="V84" s="261">
        <f t="shared" si="10"/>
        <v>0</v>
      </c>
      <c r="W84" t="e">
        <f t="shared" si="11"/>
        <v>#DIV/0!</v>
      </c>
    </row>
    <row r="85" spans="1:23">
      <c r="A85" s="323">
        <v>45840</v>
      </c>
      <c r="B85" s="324" t="s">
        <v>282</v>
      </c>
      <c r="C85" s="324" t="s">
        <v>318</v>
      </c>
      <c r="D85" s="324" t="s">
        <v>1759</v>
      </c>
      <c r="E85" s="324">
        <v>0</v>
      </c>
      <c r="F85" s="324">
        <v>0</v>
      </c>
      <c r="G85" s="261" t="e">
        <f t="shared" si="6"/>
        <v>#DIV/0!</v>
      </c>
      <c r="R85" t="str">
        <f t="shared" si="7"/>
        <v>TSM DIVIDEND_</v>
      </c>
      <c r="S85">
        <f t="shared" si="8"/>
        <v>0</v>
      </c>
      <c r="T85" s="262">
        <f>IF(R85="","",IF(LEN(R85)&gt;9,SUMIFS(Options!$AZ$3:$AZ$32,Options!$B$3:$B$32,'Check result'!R85),SUMIFS('Master P&amp;L'!$AE$11:$AE$106,'Master P&amp;L'!$B$11:$B$106,'Check result'!R85)))</f>
        <v>0</v>
      </c>
      <c r="U85" s="262">
        <f t="shared" si="9"/>
        <v>0</v>
      </c>
      <c r="V85" s="261">
        <f t="shared" si="10"/>
        <v>0</v>
      </c>
      <c r="W85" t="e">
        <f t="shared" si="11"/>
        <v>#DIV/0!</v>
      </c>
    </row>
    <row r="86" spans="1:23">
      <c r="A86" s="323">
        <v>45840</v>
      </c>
      <c r="B86" s="324" t="s">
        <v>282</v>
      </c>
      <c r="C86" s="324" t="s">
        <v>318</v>
      </c>
      <c r="D86" s="324" t="s">
        <v>1833</v>
      </c>
      <c r="E86" s="324">
        <v>0</v>
      </c>
      <c r="F86" s="324">
        <v>0</v>
      </c>
      <c r="G86" s="261" t="e">
        <f t="shared" si="6"/>
        <v>#DIV/0!</v>
      </c>
      <c r="R86" t="str">
        <f t="shared" si="7"/>
        <v>COPX DIVIDEND_</v>
      </c>
      <c r="S86">
        <f t="shared" si="8"/>
        <v>0</v>
      </c>
      <c r="T86" s="262">
        <f>IF(R86="","",IF(LEN(R86)&gt;9,SUMIFS(Options!$AZ$3:$AZ$32,Options!$B$3:$B$32,'Check result'!R86),SUMIFS('Master P&amp;L'!$AE$11:$AE$106,'Master P&amp;L'!$B$11:$B$106,'Check result'!R86)))</f>
        <v>0</v>
      </c>
      <c r="U86" s="262">
        <f t="shared" si="9"/>
        <v>0</v>
      </c>
      <c r="V86" s="261">
        <f t="shared" si="10"/>
        <v>0</v>
      </c>
      <c r="W86" t="e">
        <f t="shared" si="11"/>
        <v>#DIV/0!</v>
      </c>
    </row>
    <row r="87" spans="1:23">
      <c r="A87" s="323">
        <v>45840</v>
      </c>
      <c r="B87" s="324" t="s">
        <v>282</v>
      </c>
      <c r="C87" s="324" t="s">
        <v>318</v>
      </c>
      <c r="D87" s="324" t="s">
        <v>337</v>
      </c>
      <c r="E87" s="324">
        <v>0</v>
      </c>
      <c r="F87" s="324">
        <v>0</v>
      </c>
      <c r="G87" s="261" t="e">
        <f t="shared" si="6"/>
        <v>#DIV/0!</v>
      </c>
      <c r="R87" t="str">
        <f t="shared" si="7"/>
        <v>Provision US Equity Options USD_</v>
      </c>
      <c r="S87">
        <f t="shared" si="8"/>
        <v>0</v>
      </c>
      <c r="T87" s="262">
        <f>IF(R87="","",IF(LEN(R87)&gt;9,SUMIFS(Options!$AZ$3:$AZ$32,Options!$B$3:$B$32,'Check result'!R87),SUMIFS('Master P&amp;L'!$AE$11:$AE$106,'Master P&amp;L'!$B$11:$B$106,'Check result'!R87)))</f>
        <v>0</v>
      </c>
      <c r="U87" s="262">
        <f t="shared" si="9"/>
        <v>0</v>
      </c>
      <c r="V87" s="261">
        <f t="shared" si="10"/>
        <v>0</v>
      </c>
      <c r="W87" t="e">
        <f t="shared" si="11"/>
        <v>#DIV/0!</v>
      </c>
    </row>
    <row r="88" spans="1:23">
      <c r="A88" s="323">
        <v>45840</v>
      </c>
      <c r="B88" s="324" t="s">
        <v>282</v>
      </c>
      <c r="C88" s="324" t="s">
        <v>318</v>
      </c>
      <c r="D88" s="324" t="s">
        <v>1838</v>
      </c>
      <c r="E88" s="324">
        <v>0</v>
      </c>
      <c r="F88" s="324">
        <v>0</v>
      </c>
      <c r="G88" s="261" t="e">
        <f t="shared" si="6"/>
        <v>#DIV/0!</v>
      </c>
      <c r="R88" t="str">
        <f t="shared" si="7"/>
        <v>Total Return Swap Payment USD_</v>
      </c>
      <c r="S88">
        <f t="shared" si="8"/>
        <v>0</v>
      </c>
      <c r="T88" s="262">
        <f>IF(R88="","",IF(LEN(R88)&gt;9,SUMIFS(Options!$AZ$3:$AZ$32,Options!$B$3:$B$32,'Check result'!R88),SUMIFS('Master P&amp;L'!$AE$11:$AE$106,'Master P&amp;L'!$B$11:$B$106,'Check result'!R88)))</f>
        <v>0</v>
      </c>
      <c r="U88" s="262">
        <f t="shared" si="9"/>
        <v>0</v>
      </c>
      <c r="V88" s="261">
        <f t="shared" si="10"/>
        <v>0</v>
      </c>
      <c r="W88" t="e">
        <f t="shared" si="11"/>
        <v>#DIV/0!</v>
      </c>
    </row>
    <row r="89" spans="1:23">
      <c r="A89" s="323">
        <v>45840</v>
      </c>
      <c r="B89" s="324" t="s">
        <v>282</v>
      </c>
      <c r="C89" s="324" t="s">
        <v>318</v>
      </c>
      <c r="D89" s="324" t="s">
        <v>338</v>
      </c>
      <c r="E89" s="324">
        <v>0</v>
      </c>
      <c r="F89" s="324">
        <v>0</v>
      </c>
      <c r="G89" s="261" t="e">
        <f t="shared" si="6"/>
        <v>#DIV/0!</v>
      </c>
      <c r="R89" t="str">
        <f>D89</f>
        <v>QQQ DIVIDEND_</v>
      </c>
      <c r="S89">
        <f t="shared" si="8"/>
        <v>0</v>
      </c>
      <c r="T89" s="262">
        <f>IF(R89="","",IF(LEN(R89)&gt;9,SUMIFS(Options!$AZ$3:$AZ$32,Options!$B$3:$B$32,'Check result'!R89),SUMIFS('Master P&amp;L'!$AE$11:$AE$106,'Master P&amp;L'!$B$11:$B$106,'Check result'!R89)))</f>
        <v>0</v>
      </c>
      <c r="U89" s="262">
        <f t="shared" si="9"/>
        <v>0</v>
      </c>
      <c r="V89" s="261">
        <f t="shared" si="10"/>
        <v>0</v>
      </c>
      <c r="W89" t="e">
        <f t="shared" si="11"/>
        <v>#DIV/0!</v>
      </c>
    </row>
    <row r="90" spans="1:23">
      <c r="A90" s="323">
        <v>45840</v>
      </c>
      <c r="B90" s="324" t="s">
        <v>282</v>
      </c>
      <c r="C90" s="324" t="s">
        <v>318</v>
      </c>
      <c r="D90" s="324" t="s">
        <v>1775</v>
      </c>
      <c r="E90" s="324">
        <v>0</v>
      </c>
      <c r="F90" s="324">
        <v>0</v>
      </c>
      <c r="G90" s="261" t="e">
        <f t="shared" si="6"/>
        <v>#DIV/0!</v>
      </c>
      <c r="R90" t="str">
        <f t="shared" ref="R90:R112" si="12">D90</f>
        <v>CRM DIVIDEND_</v>
      </c>
      <c r="S90">
        <f t="shared" si="8"/>
        <v>0</v>
      </c>
      <c r="T90" s="262">
        <f>IF(R90="","",IF(LEN(R90)&gt;9,SUMIFS(Options!$AZ$3:$AZ$32,Options!$B$3:$B$32,'Check result'!R90),SUMIFS('Master P&amp;L'!$AE$11:$AE$106,'Master P&amp;L'!$B$11:$B$106,'Check result'!R90)))</f>
        <v>0</v>
      </c>
      <c r="U90" s="262">
        <f t="shared" si="9"/>
        <v>0</v>
      </c>
      <c r="V90" s="261">
        <f t="shared" si="10"/>
        <v>0</v>
      </c>
      <c r="W90" t="e">
        <f t="shared" si="11"/>
        <v>#DIV/0!</v>
      </c>
    </row>
    <row r="91" spans="1:23">
      <c r="A91" s="323">
        <v>45840</v>
      </c>
      <c r="B91" s="324" t="s">
        <v>282</v>
      </c>
      <c r="C91" s="324" t="s">
        <v>318</v>
      </c>
      <c r="D91" s="324" t="s">
        <v>306</v>
      </c>
      <c r="E91" s="324">
        <v>0</v>
      </c>
      <c r="F91" s="324">
        <v>0</v>
      </c>
      <c r="G91" s="261" t="e">
        <f t="shared" si="6"/>
        <v>#DIV/0!</v>
      </c>
      <c r="R91" t="str">
        <f t="shared" si="12"/>
        <v>Provision ETF USD_</v>
      </c>
      <c r="S91">
        <f t="shared" si="8"/>
        <v>0</v>
      </c>
      <c r="T91" s="262">
        <f>IF(R91="","",IF(LEN(R91)&gt;9,SUMIFS(Options!$AZ$3:$AZ$32,Options!$B$3:$B$32,'Check result'!R91),SUMIFS('Master P&amp;L'!$AE$11:$AE$106,'Master P&amp;L'!$B$11:$B$106,'Check result'!R91)))</f>
        <v>0</v>
      </c>
      <c r="U91" s="262">
        <f t="shared" si="9"/>
        <v>0</v>
      </c>
      <c r="V91" s="261">
        <f t="shared" si="10"/>
        <v>0</v>
      </c>
      <c r="W91" t="e">
        <f t="shared" si="11"/>
        <v>#DIV/0!</v>
      </c>
    </row>
    <row r="92" spans="1:23">
      <c r="A92" s="323">
        <v>45840</v>
      </c>
      <c r="B92" s="324" t="s">
        <v>282</v>
      </c>
      <c r="C92" s="324" t="s">
        <v>318</v>
      </c>
      <c r="D92" s="324" t="s">
        <v>307</v>
      </c>
      <c r="E92" s="324">
        <v>0</v>
      </c>
      <c r="F92" s="324">
        <v>0</v>
      </c>
      <c r="G92" s="261" t="e">
        <f t="shared" si="6"/>
        <v>#DIV/0!</v>
      </c>
      <c r="R92" t="str">
        <f t="shared" si="12"/>
        <v>Provision US Equity USD_</v>
      </c>
      <c r="S92">
        <f t="shared" si="8"/>
        <v>0</v>
      </c>
      <c r="T92" s="262">
        <f>IF(R92="","",IF(LEN(R92)&gt;9,SUMIFS(Options!$AZ$3:$AZ$32,Options!$B$3:$B$32,'Check result'!R92),SUMIFS('Master P&amp;L'!$AE$11:$AE$106,'Master P&amp;L'!$B$11:$B$106,'Check result'!R92)))</f>
        <v>0</v>
      </c>
      <c r="U92" s="262">
        <f t="shared" si="9"/>
        <v>0</v>
      </c>
      <c r="V92" s="261">
        <f t="shared" si="10"/>
        <v>0</v>
      </c>
      <c r="W92" t="e">
        <f t="shared" si="11"/>
        <v>#DIV/0!</v>
      </c>
    </row>
    <row r="93" spans="1:23">
      <c r="A93" s="323">
        <v>45840</v>
      </c>
      <c r="B93" s="324" t="s">
        <v>282</v>
      </c>
      <c r="C93" s="324" t="s">
        <v>318</v>
      </c>
      <c r="D93" s="324" t="s">
        <v>1666</v>
      </c>
      <c r="E93" s="324">
        <v>0</v>
      </c>
      <c r="F93" s="324">
        <v>0</v>
      </c>
      <c r="G93" s="261" t="e">
        <f t="shared" si="6"/>
        <v>#DIV/0!</v>
      </c>
      <c r="R93" t="str">
        <f t="shared" si="12"/>
        <v>Provision NYSE USD_</v>
      </c>
      <c r="S93">
        <f t="shared" si="8"/>
        <v>0</v>
      </c>
      <c r="T93" s="262">
        <f>IF(R93="","",IF(LEN(R93)&gt;9,SUMIFS(Options!$AZ$3:$AZ$32,Options!$B$3:$B$32,'Check result'!R93),SUMIFS('Master P&amp;L'!$AE$11:$AE$106,'Master P&amp;L'!$B$11:$B$106,'Check result'!R93)))</f>
        <v>0</v>
      </c>
      <c r="U93" s="262">
        <f t="shared" si="9"/>
        <v>0</v>
      </c>
      <c r="V93" s="261">
        <f t="shared" si="10"/>
        <v>0</v>
      </c>
      <c r="W93" t="e">
        <f t="shared" si="11"/>
        <v>#DIV/0!</v>
      </c>
    </row>
    <row r="94" spans="1:23">
      <c r="A94" s="323">
        <v>45840</v>
      </c>
      <c r="B94" s="324" t="s">
        <v>282</v>
      </c>
      <c r="C94" s="324" t="s">
        <v>324</v>
      </c>
      <c r="D94" s="324" t="s">
        <v>1801</v>
      </c>
      <c r="E94" s="324">
        <v>0</v>
      </c>
      <c r="F94" s="324">
        <v>0</v>
      </c>
      <c r="G94" s="261" t="e">
        <f t="shared" si="6"/>
        <v>#DIV/0!</v>
      </c>
      <c r="R94" t="str">
        <f t="shared" si="12"/>
        <v>XLF US 07/18/25 C53.5</v>
      </c>
      <c r="S94">
        <f t="shared" si="8"/>
        <v>0</v>
      </c>
      <c r="T94" s="262">
        <f>IF(R94="","",IF(LEN(R94)&gt;9,SUMIFS(Options!$AZ$3:$AZ$32,Options!$B$3:$B$32,'Check result'!R94),SUMIFS('Master P&amp;L'!$AE$11:$AE$106,'Master P&amp;L'!$B$11:$B$106,'Check result'!R94)))</f>
        <v>0</v>
      </c>
      <c r="U94" s="262">
        <f t="shared" si="9"/>
        <v>0</v>
      </c>
      <c r="V94" s="261">
        <f t="shared" si="10"/>
        <v>0</v>
      </c>
      <c r="W94" t="e">
        <f t="shared" si="11"/>
        <v>#DIV/0!</v>
      </c>
    </row>
    <row r="95" spans="1:23">
      <c r="A95" s="323">
        <v>45840</v>
      </c>
      <c r="B95" s="324" t="s">
        <v>282</v>
      </c>
      <c r="C95" s="324" t="s">
        <v>321</v>
      </c>
      <c r="D95" s="324" t="s">
        <v>300</v>
      </c>
      <c r="E95" s="324">
        <v>0</v>
      </c>
      <c r="F95" s="324">
        <v>0</v>
      </c>
      <c r="G95" s="261" t="e">
        <f t="shared" si="6"/>
        <v>#DIV/0!</v>
      </c>
      <c r="R95" t="str">
        <f t="shared" si="12"/>
        <v>Cash HKD</v>
      </c>
      <c r="S95">
        <f t="shared" si="8"/>
        <v>0</v>
      </c>
      <c r="T95" s="262">
        <f>IF(R95="","",IF(LEN(R95)&gt;9,SUMIFS(Options!$AZ$3:$AZ$32,Options!$B$3:$B$32,'Check result'!R95),SUMIFS('Master P&amp;L'!$AE$11:$AE$106,'Master P&amp;L'!$B$11:$B$106,'Check result'!R95)))</f>
        <v>0</v>
      </c>
      <c r="U95" s="262">
        <f t="shared" si="9"/>
        <v>0</v>
      </c>
      <c r="V95" s="261">
        <f t="shared" si="10"/>
        <v>0</v>
      </c>
      <c r="W95" t="e">
        <f t="shared" si="11"/>
        <v>#DIV/0!</v>
      </c>
    </row>
    <row r="96" spans="1:23">
      <c r="A96" s="323">
        <v>45840</v>
      </c>
      <c r="B96" s="324" t="s">
        <v>282</v>
      </c>
      <c r="C96" s="324" t="s">
        <v>321</v>
      </c>
      <c r="D96" s="324" t="s">
        <v>302</v>
      </c>
      <c r="E96" s="324">
        <v>0</v>
      </c>
      <c r="F96" s="324">
        <v>0</v>
      </c>
      <c r="G96" s="261" t="e">
        <f t="shared" si="6"/>
        <v>#DIV/0!</v>
      </c>
      <c r="R96" t="str">
        <f t="shared" si="12"/>
        <v>Cash USD</v>
      </c>
      <c r="S96">
        <f t="shared" si="8"/>
        <v>0</v>
      </c>
      <c r="T96" s="262">
        <f>IF(R96="","",IF(LEN(R96)&gt;9,SUMIFS(Options!$AZ$3:$AZ$32,Options!$B$3:$B$32,'Check result'!R96),SUMIFS('Master P&amp;L'!$AE$11:$AE$106,'Master P&amp;L'!$B$11:$B$106,'Check result'!R96)))</f>
        <v>0</v>
      </c>
      <c r="U96" s="262">
        <f t="shared" si="9"/>
        <v>0</v>
      </c>
      <c r="V96" s="261">
        <f t="shared" si="10"/>
        <v>0</v>
      </c>
      <c r="W96" t="e">
        <f t="shared" si="11"/>
        <v>#DIV/0!</v>
      </c>
    </row>
    <row r="97" spans="1:23">
      <c r="A97" s="323">
        <v>45840</v>
      </c>
      <c r="B97" s="324" t="s">
        <v>1667</v>
      </c>
      <c r="C97" s="324" t="s">
        <v>1668</v>
      </c>
      <c r="D97" s="324" t="s">
        <v>1669</v>
      </c>
      <c r="E97" s="324">
        <v>0</v>
      </c>
      <c r="F97" s="324">
        <v>0</v>
      </c>
      <c r="G97" s="261" t="e">
        <f t="shared" si="6"/>
        <v>#DIV/0!</v>
      </c>
      <c r="R97" t="str">
        <f t="shared" si="12"/>
        <v>Exposure Transfer USD_</v>
      </c>
      <c r="S97">
        <f t="shared" si="8"/>
        <v>0</v>
      </c>
      <c r="T97" s="262">
        <f>IF(R97="","",IF(LEN(R97)&gt;9,SUMIFS(Options!$AZ$3:$AZ$32,Options!$B$3:$B$32,'Check result'!R97),SUMIFS('Master P&amp;L'!$AE$11:$AE$106,'Master P&amp;L'!$B$11:$B$106,'Check result'!R97)))</f>
        <v>0</v>
      </c>
      <c r="U97" s="262">
        <f t="shared" si="9"/>
        <v>0</v>
      </c>
      <c r="V97" s="261">
        <f t="shared" si="10"/>
        <v>0</v>
      </c>
      <c r="W97" t="e">
        <f t="shared" si="11"/>
        <v>#DIV/0!</v>
      </c>
    </row>
    <row r="98" spans="1:23">
      <c r="A98" s="323">
        <v>45840</v>
      </c>
      <c r="B98" s="324" t="s">
        <v>282</v>
      </c>
      <c r="C98" s="324" t="s">
        <v>321</v>
      </c>
      <c r="D98" s="324" t="s">
        <v>301</v>
      </c>
      <c r="E98" s="324">
        <v>0</v>
      </c>
      <c r="F98" s="324">
        <v>0</v>
      </c>
      <c r="G98" s="261" t="e">
        <f t="shared" si="6"/>
        <v>#DIV/0!</v>
      </c>
      <c r="R98" t="str">
        <f t="shared" si="12"/>
        <v>Cash KRW</v>
      </c>
      <c r="S98">
        <f t="shared" si="8"/>
        <v>0</v>
      </c>
      <c r="T98" s="262">
        <f>IF(R98="","",IF(LEN(R98)&gt;9,SUMIFS(Options!$AZ$3:$AZ$32,Options!$B$3:$B$32,'Check result'!R98),SUMIFS('Master P&amp;L'!$AE$11:$AE$106,'Master P&amp;L'!$B$11:$B$106,'Check result'!R98)))</f>
        <v>0</v>
      </c>
      <c r="U98" s="262">
        <f t="shared" si="9"/>
        <v>0</v>
      </c>
      <c r="V98" s="261">
        <f t="shared" si="10"/>
        <v>0</v>
      </c>
      <c r="W98" t="e">
        <f t="shared" si="11"/>
        <v>#DIV/0!</v>
      </c>
    </row>
    <row r="99" spans="1:23">
      <c r="A99" s="323">
        <v>45840</v>
      </c>
      <c r="B99" s="324" t="s">
        <v>282</v>
      </c>
      <c r="C99" s="324" t="s">
        <v>321</v>
      </c>
      <c r="D99" s="324" t="s">
        <v>297</v>
      </c>
      <c r="E99" s="324">
        <v>0</v>
      </c>
      <c r="F99" s="324">
        <v>0</v>
      </c>
      <c r="G99" s="261" t="e">
        <f t="shared" si="6"/>
        <v>#DIV/0!</v>
      </c>
      <c r="R99" t="str">
        <f t="shared" si="12"/>
        <v>Cash CNH</v>
      </c>
      <c r="S99">
        <f t="shared" si="8"/>
        <v>0</v>
      </c>
      <c r="T99" s="262">
        <f>IF(R99="","",IF(LEN(R99)&gt;9,SUMIFS(Options!$AZ$3:$AZ$32,Options!$B$3:$B$32,'Check result'!R99),SUMIFS('Master P&amp;L'!$AE$11:$AE$106,'Master P&amp;L'!$B$11:$B$106,'Check result'!R99)))</f>
        <v>0</v>
      </c>
      <c r="U99" s="262">
        <f t="shared" si="9"/>
        <v>0</v>
      </c>
      <c r="V99" s="261">
        <f t="shared" si="10"/>
        <v>0</v>
      </c>
      <c r="W99" t="e">
        <f t="shared" si="11"/>
        <v>#DIV/0!</v>
      </c>
    </row>
    <row r="100" spans="1:23">
      <c r="A100" s="323">
        <v>45840</v>
      </c>
      <c r="B100" s="324" t="s">
        <v>282</v>
      </c>
      <c r="C100" s="324" t="s">
        <v>321</v>
      </c>
      <c r="D100" s="324" t="s">
        <v>299</v>
      </c>
      <c r="E100" s="324">
        <v>0</v>
      </c>
      <c r="F100" s="324">
        <v>0</v>
      </c>
      <c r="G100" s="261" t="e">
        <f t="shared" si="6"/>
        <v>#DIV/0!</v>
      </c>
      <c r="R100" t="str">
        <f t="shared" si="12"/>
        <v>Cash GBP</v>
      </c>
      <c r="S100">
        <f t="shared" si="8"/>
        <v>0</v>
      </c>
      <c r="T100" s="262">
        <f>IF(R100="","",IF(LEN(R100)&gt;9,SUMIFS(Options!$AZ$3:$AZ$32,Options!$B$3:$B$32,'Check result'!R100),SUMIFS('Master P&amp;L'!$AE$11:$AE$106,'Master P&amp;L'!$B$11:$B$106,'Check result'!R100)))</f>
        <v>0</v>
      </c>
      <c r="U100" s="262">
        <f t="shared" si="9"/>
        <v>0</v>
      </c>
      <c r="V100" s="261">
        <f t="shared" si="10"/>
        <v>0</v>
      </c>
      <c r="W100" t="e">
        <f t="shared" si="11"/>
        <v>#DIV/0!</v>
      </c>
    </row>
    <row r="101" spans="1:23">
      <c r="A101" s="323">
        <v>45840</v>
      </c>
      <c r="B101" s="324" t="s">
        <v>282</v>
      </c>
      <c r="C101" s="324" t="s">
        <v>319</v>
      </c>
      <c r="D101" s="324" t="s">
        <v>1823</v>
      </c>
      <c r="E101" s="324">
        <v>11</v>
      </c>
      <c r="F101" s="324">
        <v>0</v>
      </c>
      <c r="G101" s="261" t="e">
        <f t="shared" si="6"/>
        <v>#DIV/0!</v>
      </c>
      <c r="R101" t="str">
        <f t="shared" si="12"/>
        <v>MU US 07/03/25 C150</v>
      </c>
      <c r="S101">
        <f t="shared" si="8"/>
        <v>11</v>
      </c>
      <c r="T101" s="262">
        <f>IF(R101="","",IF(LEN(R101)&gt;9,SUMIFS(Options!$AZ$3:$AZ$32,Options!$B$3:$B$32,'Check result'!R101),SUMIFS('Master P&amp;L'!$AE$11:$AE$106,'Master P&amp;L'!$B$11:$B$106,'Check result'!R101)))</f>
        <v>0</v>
      </c>
      <c r="U101" s="262">
        <f t="shared" si="9"/>
        <v>0</v>
      </c>
      <c r="V101" s="261">
        <f t="shared" si="10"/>
        <v>11</v>
      </c>
      <c r="W101" t="e">
        <f t="shared" si="11"/>
        <v>#DIV/0!</v>
      </c>
    </row>
    <row r="102" spans="1:23">
      <c r="A102" s="323">
        <v>45840</v>
      </c>
      <c r="B102" s="324" t="s">
        <v>282</v>
      </c>
      <c r="C102" s="324" t="s">
        <v>319</v>
      </c>
      <c r="D102" s="324" t="s">
        <v>1784</v>
      </c>
      <c r="E102" s="324">
        <v>160</v>
      </c>
      <c r="F102" s="324">
        <v>0</v>
      </c>
      <c r="G102" s="261" t="e">
        <f t="shared" si="6"/>
        <v>#DIV/0!</v>
      </c>
      <c r="R102" t="str">
        <f t="shared" si="12"/>
        <v>V US 07/11/25 P325</v>
      </c>
      <c r="S102">
        <f t="shared" si="8"/>
        <v>160</v>
      </c>
      <c r="T102" s="262">
        <f>IF(R102="","",IF(LEN(R102)&gt;9,SUMIFS(Options!$AZ$3:$AZ$32,Options!$B$3:$B$32,'Check result'!R102),SUMIFS('Master P&amp;L'!$AE$11:$AE$106,'Master P&amp;L'!$B$11:$B$106,'Check result'!R102)))</f>
        <v>0</v>
      </c>
      <c r="U102" s="262">
        <f t="shared" si="9"/>
        <v>0</v>
      </c>
      <c r="V102" s="261">
        <f t="shared" si="10"/>
        <v>160</v>
      </c>
      <c r="W102" t="e">
        <f t="shared" si="11"/>
        <v>#DIV/0!</v>
      </c>
    </row>
    <row r="103" spans="1:23">
      <c r="A103" s="323">
        <v>45840</v>
      </c>
      <c r="B103" s="324" t="s">
        <v>282</v>
      </c>
      <c r="C103" s="324" t="s">
        <v>321</v>
      </c>
      <c r="D103" s="324" t="s">
        <v>298</v>
      </c>
      <c r="E103" s="324">
        <v>462</v>
      </c>
      <c r="F103" s="324">
        <v>0</v>
      </c>
      <c r="G103" s="261" t="e">
        <f t="shared" si="6"/>
        <v>#DIV/0!</v>
      </c>
      <c r="R103" t="str">
        <f t="shared" si="12"/>
        <v>Cash EUR</v>
      </c>
      <c r="S103">
        <f t="shared" si="8"/>
        <v>462</v>
      </c>
      <c r="T103" s="262">
        <f>IF(R103="","",IF(LEN(R103)&gt;9,SUMIFS(Options!$AZ$3:$AZ$32,Options!$B$3:$B$32,'Check result'!R103),SUMIFS('Master P&amp;L'!$AE$11:$AE$106,'Master P&amp;L'!$B$11:$B$106,'Check result'!R103)))</f>
        <v>0</v>
      </c>
      <c r="U103" s="262">
        <f t="shared" si="9"/>
        <v>0</v>
      </c>
      <c r="V103" s="261">
        <f t="shared" si="10"/>
        <v>462</v>
      </c>
      <c r="W103" t="e">
        <f t="shared" si="11"/>
        <v>#DIV/0!</v>
      </c>
    </row>
    <row r="104" spans="1:23">
      <c r="A104" s="323">
        <v>45840</v>
      </c>
      <c r="B104" s="324" t="s">
        <v>282</v>
      </c>
      <c r="C104" s="324" t="s">
        <v>324</v>
      </c>
      <c r="D104" s="324" t="s">
        <v>1790</v>
      </c>
      <c r="E104" s="324">
        <v>759</v>
      </c>
      <c r="F104" s="324">
        <v>0</v>
      </c>
      <c r="G104" s="261" t="e">
        <f t="shared" si="6"/>
        <v>#DIV/0!</v>
      </c>
      <c r="R104" t="str">
        <f t="shared" si="12"/>
        <v>QQQ US 07/03/25 P520</v>
      </c>
      <c r="S104">
        <f t="shared" si="8"/>
        <v>759</v>
      </c>
      <c r="T104" s="262">
        <f>IF(R104="","",IF(LEN(R104)&gt;9,SUMIFS(Options!$AZ$3:$AZ$32,Options!$B$3:$B$32,'Check result'!R104),SUMIFS('Master P&amp;L'!$AE$11:$AE$106,'Master P&amp;L'!$B$11:$B$106,'Check result'!R104)))</f>
        <v>0</v>
      </c>
      <c r="U104" s="262">
        <f t="shared" si="9"/>
        <v>0</v>
      </c>
      <c r="V104" s="261">
        <f t="shared" si="10"/>
        <v>759</v>
      </c>
      <c r="W104" t="e">
        <f t="shared" si="11"/>
        <v>#DIV/0!</v>
      </c>
    </row>
    <row r="105" spans="1:23">
      <c r="A105" s="323">
        <v>45840</v>
      </c>
      <c r="B105" s="324" t="s">
        <v>282</v>
      </c>
      <c r="C105" s="324" t="s">
        <v>317</v>
      </c>
      <c r="D105" s="324" t="s">
        <v>129</v>
      </c>
      <c r="E105" s="324">
        <v>787</v>
      </c>
      <c r="F105" s="324">
        <v>0</v>
      </c>
      <c r="G105" s="261" t="e">
        <f t="shared" si="6"/>
        <v>#DIV/0!</v>
      </c>
      <c r="R105" t="str">
        <f t="shared" si="12"/>
        <v>ABNB</v>
      </c>
      <c r="S105">
        <f t="shared" si="8"/>
        <v>787</v>
      </c>
      <c r="T105" s="262">
        <f>IF(R105="","",IF(LEN(R105)&gt;9,SUMIFS(Options!$AZ$3:$AZ$32,Options!$B$3:$B$32,'Check result'!R105),SUMIFS('Master P&amp;L'!$AE$11:$AE$106,'Master P&amp;L'!$B$11:$B$106,'Check result'!R105)))</f>
        <v>0</v>
      </c>
      <c r="U105" s="262">
        <f t="shared" si="9"/>
        <v>0</v>
      </c>
      <c r="V105" s="261">
        <f t="shared" si="10"/>
        <v>787</v>
      </c>
      <c r="W105" t="e">
        <f t="shared" si="11"/>
        <v>#DIV/0!</v>
      </c>
    </row>
    <row r="106" spans="1:23">
      <c r="A106" s="323">
        <v>45840</v>
      </c>
      <c r="B106" s="324" t="s">
        <v>282</v>
      </c>
      <c r="C106" s="324" t="s">
        <v>319</v>
      </c>
      <c r="D106" s="324" t="s">
        <v>1811</v>
      </c>
      <c r="E106" s="325">
        <v>1513</v>
      </c>
      <c r="F106" s="324">
        <v>0</v>
      </c>
      <c r="G106" s="261" t="e">
        <f t="shared" si="6"/>
        <v>#DIV/0!</v>
      </c>
      <c r="R106" t="str">
        <f t="shared" si="12"/>
        <v>MA US 07/18/25 P520</v>
      </c>
      <c r="S106">
        <f t="shared" si="8"/>
        <v>1513</v>
      </c>
      <c r="T106" s="262">
        <f>IF(R106="","",IF(LEN(R106)&gt;9,SUMIFS(Options!$AZ$3:$AZ$32,Options!$B$3:$B$32,'Check result'!R106),SUMIFS('Master P&amp;L'!$AE$11:$AE$106,'Master P&amp;L'!$B$11:$B$106,'Check result'!R106)))</f>
        <v>0</v>
      </c>
      <c r="U106" s="262">
        <f t="shared" si="9"/>
        <v>0</v>
      </c>
      <c r="V106" s="261">
        <f t="shared" si="10"/>
        <v>1513</v>
      </c>
      <c r="W106" t="e">
        <f t="shared" si="11"/>
        <v>#DIV/0!</v>
      </c>
    </row>
    <row r="107" spans="1:23">
      <c r="A107" s="323">
        <v>45840</v>
      </c>
      <c r="B107" s="324" t="s">
        <v>282</v>
      </c>
      <c r="C107" s="324" t="s">
        <v>317</v>
      </c>
      <c r="D107" s="324" t="s">
        <v>83</v>
      </c>
      <c r="E107" s="325">
        <v>1726</v>
      </c>
      <c r="F107" s="324">
        <v>0</v>
      </c>
      <c r="G107" s="261" t="e">
        <f t="shared" si="6"/>
        <v>#DIV/0!</v>
      </c>
      <c r="R107" t="str">
        <f t="shared" si="12"/>
        <v>UBER</v>
      </c>
      <c r="S107">
        <f t="shared" si="8"/>
        <v>1726</v>
      </c>
      <c r="T107" s="262">
        <f>IF(R107="","",IF(LEN(R107)&gt;9,SUMIFS(Options!$AZ$3:$AZ$32,Options!$B$3:$B$32,'Check result'!R107),SUMIFS('Master P&amp;L'!$AE$11:$AE$106,'Master P&amp;L'!$B$11:$B$106,'Check result'!R107)))</f>
        <v>0</v>
      </c>
      <c r="U107" s="262">
        <f t="shared" si="9"/>
        <v>0</v>
      </c>
      <c r="V107" s="261">
        <f t="shared" si="10"/>
        <v>1726</v>
      </c>
      <c r="W107" t="e">
        <f t="shared" si="11"/>
        <v>#DIV/0!</v>
      </c>
    </row>
    <row r="108" spans="1:23">
      <c r="A108" s="323">
        <v>45840</v>
      </c>
      <c r="B108" s="324" t="s">
        <v>282</v>
      </c>
      <c r="C108" s="324" t="s">
        <v>324</v>
      </c>
      <c r="D108" s="324" t="s">
        <v>1729</v>
      </c>
      <c r="E108" s="325">
        <v>2508</v>
      </c>
      <c r="F108" s="324">
        <v>0</v>
      </c>
      <c r="G108" s="261" t="e">
        <f t="shared" si="6"/>
        <v>#DIV/0!</v>
      </c>
      <c r="R108" t="str">
        <f t="shared" si="12"/>
        <v>XLF US 07/18/25 P50</v>
      </c>
      <c r="S108">
        <f t="shared" si="8"/>
        <v>2508</v>
      </c>
      <c r="T108" s="262">
        <f>IF(R108="","",IF(LEN(R108)&gt;9,SUMIFS(Options!$AZ$3:$AZ$32,Options!$B$3:$B$32,'Check result'!R108),SUMIFS('Master P&amp;L'!$AE$11:$AE$106,'Master P&amp;L'!$B$11:$B$106,'Check result'!R108)))</f>
        <v>0</v>
      </c>
      <c r="U108" s="262">
        <f t="shared" si="9"/>
        <v>0</v>
      </c>
      <c r="V108" s="261">
        <f t="shared" si="10"/>
        <v>2508</v>
      </c>
      <c r="W108" t="e">
        <f t="shared" si="11"/>
        <v>#DIV/0!</v>
      </c>
    </row>
    <row r="109" spans="1:23">
      <c r="A109" s="323">
        <v>45840</v>
      </c>
      <c r="B109" s="324" t="s">
        <v>282</v>
      </c>
      <c r="C109" s="324" t="s">
        <v>319</v>
      </c>
      <c r="D109" s="324" t="s">
        <v>1691</v>
      </c>
      <c r="E109" s="325">
        <v>2521</v>
      </c>
      <c r="F109" s="324">
        <v>0</v>
      </c>
      <c r="G109" s="261" t="e">
        <f t="shared" si="6"/>
        <v>#DIV/0!</v>
      </c>
      <c r="R109" t="str">
        <f t="shared" si="12"/>
        <v>UBER US 07/18/25 C105</v>
      </c>
      <c r="S109">
        <f t="shared" si="8"/>
        <v>2521</v>
      </c>
      <c r="T109" s="262">
        <f>IF(R109="","",IF(LEN(R109)&gt;9,SUMIFS(Options!$AZ$3:$AZ$32,Options!$B$3:$B$32,'Check result'!R109),SUMIFS('Master P&amp;L'!$AE$11:$AE$106,'Master P&amp;L'!$B$11:$B$106,'Check result'!R109)))</f>
        <v>0</v>
      </c>
      <c r="U109" s="262">
        <f t="shared" si="9"/>
        <v>0</v>
      </c>
      <c r="V109" s="261">
        <f t="shared" si="10"/>
        <v>2521</v>
      </c>
      <c r="W109" t="e">
        <f t="shared" si="11"/>
        <v>#DIV/0!</v>
      </c>
    </row>
    <row r="110" spans="1:23">
      <c r="A110" s="323">
        <v>45840</v>
      </c>
      <c r="B110" s="324" t="s">
        <v>282</v>
      </c>
      <c r="C110" s="324" t="s">
        <v>324</v>
      </c>
      <c r="D110" s="324" t="s">
        <v>1726</v>
      </c>
      <c r="E110" s="325">
        <v>2806</v>
      </c>
      <c r="F110" s="324">
        <v>0</v>
      </c>
      <c r="G110" s="261" t="e">
        <f t="shared" si="6"/>
        <v>#DIV/0!</v>
      </c>
      <c r="R110" t="str">
        <f t="shared" si="12"/>
        <v>SOXX US 07/18/25 P200</v>
      </c>
      <c r="S110">
        <f t="shared" si="8"/>
        <v>2806</v>
      </c>
      <c r="T110" s="262">
        <f>IF(R110="","",IF(LEN(R110)&gt;9,SUMIFS(Options!$AZ$3:$AZ$32,Options!$B$3:$B$32,'Check result'!R110),SUMIFS('Master P&amp;L'!$AE$11:$AE$106,'Master P&amp;L'!$B$11:$B$106,'Check result'!R110)))</f>
        <v>0</v>
      </c>
      <c r="U110" s="262">
        <f t="shared" si="9"/>
        <v>0</v>
      </c>
      <c r="V110" s="261">
        <f t="shared" si="10"/>
        <v>2806</v>
      </c>
      <c r="W110" t="e">
        <f t="shared" si="11"/>
        <v>#DIV/0!</v>
      </c>
    </row>
    <row r="111" spans="1:23">
      <c r="A111" s="323">
        <v>45840</v>
      </c>
      <c r="B111" s="324" t="s">
        <v>282</v>
      </c>
      <c r="C111" s="324" t="s">
        <v>319</v>
      </c>
      <c r="D111" s="324" t="s">
        <v>1713</v>
      </c>
      <c r="E111" s="325">
        <v>4403</v>
      </c>
      <c r="F111" s="324">
        <v>0</v>
      </c>
      <c r="G111" s="261" t="e">
        <f t="shared" si="6"/>
        <v>#DIV/0!</v>
      </c>
      <c r="R111" t="str">
        <f t="shared" si="12"/>
        <v>NVDA US 07/18/25 P125</v>
      </c>
      <c r="S111">
        <f t="shared" si="8"/>
        <v>4403</v>
      </c>
      <c r="T111" s="262">
        <f>IF(R111="","",IF(LEN(R111)&gt;9,SUMIFS(Options!$AZ$3:$AZ$32,Options!$B$3:$B$32,'Check result'!R111),SUMIFS('Master P&amp;L'!$AE$11:$AE$106,'Master P&amp;L'!$B$11:$B$106,'Check result'!R111)))</f>
        <v>0</v>
      </c>
      <c r="U111" s="262">
        <f t="shared" si="9"/>
        <v>0</v>
      </c>
      <c r="V111" s="261">
        <f t="shared" si="10"/>
        <v>4403</v>
      </c>
      <c r="W111" t="e">
        <f t="shared" si="11"/>
        <v>#DIV/0!</v>
      </c>
    </row>
    <row r="112" spans="1:23">
      <c r="A112" s="323">
        <v>45840</v>
      </c>
      <c r="B112" s="324" t="s">
        <v>282</v>
      </c>
      <c r="C112" s="324" t="s">
        <v>319</v>
      </c>
      <c r="D112" s="324" t="s">
        <v>1746</v>
      </c>
      <c r="E112" s="325">
        <v>7108</v>
      </c>
      <c r="F112" s="324">
        <v>0.01</v>
      </c>
      <c r="G112" s="261">
        <f t="shared" si="6"/>
        <v>7108000000</v>
      </c>
      <c r="R112" t="str">
        <f t="shared" si="12"/>
        <v>MSFT US 07/18/25 P445</v>
      </c>
      <c r="S112">
        <f t="shared" si="8"/>
        <v>7108</v>
      </c>
      <c r="T112" s="262">
        <f>IF(R112="","",IF(LEN(R112)&gt;9,SUMIFS(Options!$AZ$3:$AZ$32,Options!$B$3:$B$32,'Check result'!R112),SUMIFS('Master P&amp;L'!$AE$11:$AE$106,'Master P&amp;L'!$B$11:$B$106,'Check result'!R112)))</f>
        <v>0</v>
      </c>
      <c r="U112" s="262">
        <f t="shared" si="9"/>
        <v>0</v>
      </c>
      <c r="V112" s="261">
        <f t="shared" si="10"/>
        <v>7108</v>
      </c>
      <c r="W112">
        <f t="shared" si="11"/>
        <v>0.01</v>
      </c>
    </row>
    <row r="113" spans="1:23">
      <c r="A113" s="323">
        <v>45840</v>
      </c>
      <c r="B113" s="324" t="s">
        <v>282</v>
      </c>
      <c r="C113" s="324" t="s">
        <v>319</v>
      </c>
      <c r="D113" s="324" t="s">
        <v>1794</v>
      </c>
      <c r="E113" s="325">
        <v>10288</v>
      </c>
      <c r="F113" s="324">
        <v>0.01</v>
      </c>
      <c r="G113" s="261">
        <f t="shared" si="6"/>
        <v>10288000000</v>
      </c>
      <c r="R113" t="str">
        <f t="shared" ref="R113:R165" si="13">D113</f>
        <v>MSFT US 08/15/25 P480</v>
      </c>
      <c r="S113">
        <f t="shared" ref="S113:S155" si="14">VLOOKUP(R113,$D$2:$F$156,2,FALSE)</f>
        <v>10288</v>
      </c>
      <c r="T113" s="262">
        <f>IF(R113="","",IF(LEN(R113)&gt;9,SUMIFS(Options!$AZ$3:$AZ$32,Options!$B$3:$B$32,'Check result'!R113),SUMIFS('Master P&amp;L'!$AE$11:$AE$106,'Master P&amp;L'!$B$11:$B$106,'Check result'!R113)))</f>
        <v>0</v>
      </c>
      <c r="U113" s="262">
        <f t="shared" ref="U113:U165" si="15">T113/2</f>
        <v>0</v>
      </c>
      <c r="V113" s="261">
        <f t="shared" ref="V113:V165" si="16">+S113-U113</f>
        <v>10288</v>
      </c>
      <c r="W113">
        <f t="shared" ref="W113:W165" si="17">+V113/G113*10000</f>
        <v>0.01</v>
      </c>
    </row>
    <row r="114" spans="1:23">
      <c r="A114" s="323">
        <v>45840</v>
      </c>
      <c r="B114" s="324" t="s">
        <v>282</v>
      </c>
      <c r="C114" s="324" t="s">
        <v>319</v>
      </c>
      <c r="D114" s="324" t="s">
        <v>1716</v>
      </c>
      <c r="E114" s="325">
        <v>10410</v>
      </c>
      <c r="F114" s="324">
        <v>0.01</v>
      </c>
      <c r="G114" s="261">
        <f t="shared" si="6"/>
        <v>10410000000</v>
      </c>
      <c r="R114" t="str">
        <f t="shared" si="13"/>
        <v>MA US 07/18/25 P550</v>
      </c>
      <c r="S114">
        <f t="shared" si="14"/>
        <v>10410</v>
      </c>
      <c r="T114" s="262">
        <f>IF(R114="","",IF(LEN(R114)&gt;9,SUMIFS(Options!$AZ$3:$AZ$32,Options!$B$3:$B$32,'Check result'!R114),SUMIFS('Master P&amp;L'!$AE$11:$AE$106,'Master P&amp;L'!$B$11:$B$106,'Check result'!R114)))</f>
        <v>0</v>
      </c>
      <c r="U114" s="262">
        <f t="shared" si="15"/>
        <v>0</v>
      </c>
      <c r="V114" s="261">
        <f t="shared" si="16"/>
        <v>10410</v>
      </c>
      <c r="W114">
        <f t="shared" si="17"/>
        <v>0.01</v>
      </c>
    </row>
    <row r="115" spans="1:23">
      <c r="A115" s="323">
        <v>45840</v>
      </c>
      <c r="B115" s="324" t="s">
        <v>282</v>
      </c>
      <c r="C115" s="324" t="s">
        <v>324</v>
      </c>
      <c r="D115" s="324" t="s">
        <v>1711</v>
      </c>
      <c r="E115" s="325">
        <v>11950</v>
      </c>
      <c r="F115" s="324">
        <v>0.01</v>
      </c>
      <c r="G115" s="261">
        <f t="shared" si="6"/>
        <v>11950000000</v>
      </c>
      <c r="R115" t="str">
        <f t="shared" si="13"/>
        <v>SMH US 07/18/25 P225</v>
      </c>
      <c r="S115">
        <f t="shared" si="14"/>
        <v>11950</v>
      </c>
      <c r="T115" s="262">
        <f>IF(R115="","",IF(LEN(R115)&gt;9,SUMIFS(Options!$AZ$3:$AZ$32,Options!$B$3:$B$32,'Check result'!R115),SUMIFS('Master P&amp;L'!$AE$11:$AE$106,'Master P&amp;L'!$B$11:$B$106,'Check result'!R115)))</f>
        <v>0</v>
      </c>
      <c r="U115" s="262">
        <f t="shared" si="15"/>
        <v>0</v>
      </c>
      <c r="V115" s="261">
        <f t="shared" si="16"/>
        <v>11950</v>
      </c>
      <c r="W115">
        <f t="shared" si="17"/>
        <v>0.01</v>
      </c>
    </row>
    <row r="116" spans="1:23">
      <c r="A116" s="323">
        <v>45840</v>
      </c>
      <c r="B116" s="324" t="s">
        <v>282</v>
      </c>
      <c r="C116" s="324" t="s">
        <v>319</v>
      </c>
      <c r="D116" s="324" t="s">
        <v>1796</v>
      </c>
      <c r="E116" s="325">
        <v>13284</v>
      </c>
      <c r="F116" s="324">
        <v>0.01</v>
      </c>
      <c r="G116" s="261">
        <f t="shared" si="6"/>
        <v>13284000000</v>
      </c>
      <c r="R116" t="str">
        <f t="shared" si="13"/>
        <v>MSFT US 08/15/25 C515</v>
      </c>
      <c r="S116">
        <f t="shared" si="14"/>
        <v>13284</v>
      </c>
      <c r="T116" s="262">
        <f>IF(R116="","",IF(LEN(R116)&gt;9,SUMIFS(Options!$AZ$3:$AZ$32,Options!$B$3:$B$32,'Check result'!R116),SUMIFS('Master P&amp;L'!$AE$11:$AE$106,'Master P&amp;L'!$B$11:$B$106,'Check result'!R116)))</f>
        <v>0</v>
      </c>
      <c r="U116" s="262">
        <f t="shared" si="15"/>
        <v>0</v>
      </c>
      <c r="V116" s="261">
        <f t="shared" si="16"/>
        <v>13284</v>
      </c>
      <c r="W116">
        <f t="shared" si="17"/>
        <v>0.01</v>
      </c>
    </row>
    <row r="117" spans="1:23">
      <c r="A117" s="323">
        <v>45840</v>
      </c>
      <c r="B117" s="324" t="s">
        <v>282</v>
      </c>
      <c r="C117" s="324" t="s">
        <v>320</v>
      </c>
      <c r="D117" s="324" t="s">
        <v>95</v>
      </c>
      <c r="E117" s="325">
        <v>15275</v>
      </c>
      <c r="F117" s="324">
        <v>0.01</v>
      </c>
      <c r="G117" s="261">
        <f t="shared" si="6"/>
        <v>15275000000</v>
      </c>
      <c r="R117" t="str">
        <f t="shared" si="13"/>
        <v>SOXX</v>
      </c>
      <c r="S117">
        <f t="shared" si="14"/>
        <v>15275</v>
      </c>
      <c r="T117" s="262">
        <f>IF(R117="","",IF(LEN(R117)&gt;9,SUMIFS(Options!$AZ$3:$AZ$32,Options!$B$3:$B$32,'Check result'!R117),SUMIFS('Master P&amp;L'!$AE$11:$AE$106,'Master P&amp;L'!$B$11:$B$106,'Check result'!R117)))</f>
        <v>0</v>
      </c>
      <c r="U117" s="262">
        <f t="shared" si="15"/>
        <v>0</v>
      </c>
      <c r="V117" s="261">
        <f t="shared" si="16"/>
        <v>15275</v>
      </c>
      <c r="W117">
        <f t="shared" si="17"/>
        <v>0.01</v>
      </c>
    </row>
    <row r="118" spans="1:23">
      <c r="A118" s="323">
        <v>45840</v>
      </c>
      <c r="B118" s="324" t="s">
        <v>282</v>
      </c>
      <c r="C118" s="324" t="s">
        <v>319</v>
      </c>
      <c r="D118" s="324" t="s">
        <v>1808</v>
      </c>
      <c r="E118" s="325">
        <v>15290</v>
      </c>
      <c r="F118" s="324">
        <v>0.01</v>
      </c>
      <c r="G118" s="261">
        <f t="shared" si="6"/>
        <v>15290000000</v>
      </c>
      <c r="R118" t="str">
        <f t="shared" si="13"/>
        <v>MSFT US 08/15/25 C520</v>
      </c>
      <c r="S118">
        <f t="shared" si="14"/>
        <v>15290</v>
      </c>
      <c r="T118" s="262">
        <f>IF(R118="","",IF(LEN(R118)&gt;9,SUMIFS(Options!$AZ$3:$AZ$32,Options!$B$3:$B$32,'Check result'!R118),SUMIFS('Master P&amp;L'!$AE$11:$AE$106,'Master P&amp;L'!$B$11:$B$106,'Check result'!R118)))</f>
        <v>0</v>
      </c>
      <c r="U118" s="262">
        <f t="shared" si="15"/>
        <v>0</v>
      </c>
      <c r="V118" s="261">
        <f t="shared" si="16"/>
        <v>15290</v>
      </c>
      <c r="W118">
        <f t="shared" si="17"/>
        <v>0.01</v>
      </c>
    </row>
    <row r="119" spans="1:23">
      <c r="A119" s="323">
        <v>45840</v>
      </c>
      <c r="B119" s="324" t="s">
        <v>282</v>
      </c>
      <c r="C119" s="324" t="s">
        <v>319</v>
      </c>
      <c r="D119" s="324" t="s">
        <v>1747</v>
      </c>
      <c r="E119" s="325">
        <v>16211</v>
      </c>
      <c r="F119" s="324">
        <v>0.01</v>
      </c>
      <c r="G119" s="261">
        <f t="shared" si="6"/>
        <v>16211000000</v>
      </c>
      <c r="R119" t="str">
        <f t="shared" si="13"/>
        <v>META US 07/18/25 P685</v>
      </c>
      <c r="S119">
        <f t="shared" si="14"/>
        <v>16211</v>
      </c>
      <c r="T119" s="262">
        <f>IF(R119="","",IF(LEN(R119)&gt;9,SUMIFS(Options!$AZ$3:$AZ$32,Options!$B$3:$B$32,'Check result'!R119),SUMIFS('Master P&amp;L'!$AE$11:$AE$106,'Master P&amp;L'!$B$11:$B$106,'Check result'!R119)))</f>
        <v>0</v>
      </c>
      <c r="U119" s="262">
        <f t="shared" si="15"/>
        <v>0</v>
      </c>
      <c r="V119" s="261">
        <f t="shared" si="16"/>
        <v>16211</v>
      </c>
      <c r="W119">
        <f t="shared" si="17"/>
        <v>0.01</v>
      </c>
    </row>
    <row r="120" spans="1:23">
      <c r="A120" s="323">
        <v>45840</v>
      </c>
      <c r="B120" s="324" t="s">
        <v>282</v>
      </c>
      <c r="C120" s="324" t="s">
        <v>320</v>
      </c>
      <c r="D120" s="324" t="s">
        <v>1754</v>
      </c>
      <c r="E120" s="325">
        <v>16359</v>
      </c>
      <c r="F120" s="324">
        <v>0.01</v>
      </c>
      <c r="G120" s="261">
        <f t="shared" si="6"/>
        <v>16359000000</v>
      </c>
      <c r="R120" t="str">
        <f t="shared" si="13"/>
        <v>EWY</v>
      </c>
      <c r="S120">
        <f t="shared" si="14"/>
        <v>16359</v>
      </c>
      <c r="T120" s="262">
        <f>IF(R120="","",IF(LEN(R120)&gt;9,SUMIFS(Options!$AZ$3:$AZ$32,Options!$B$3:$B$32,'Check result'!R120),SUMIFS('Master P&amp;L'!$AE$11:$AE$106,'Master P&amp;L'!$B$11:$B$106,'Check result'!R120)))</f>
        <v>0</v>
      </c>
      <c r="U120" s="262">
        <f t="shared" si="15"/>
        <v>0</v>
      </c>
      <c r="V120" s="261">
        <f t="shared" si="16"/>
        <v>16359</v>
      </c>
      <c r="W120">
        <f t="shared" si="17"/>
        <v>0.01</v>
      </c>
    </row>
    <row r="121" spans="1:23">
      <c r="A121" s="323">
        <v>45840</v>
      </c>
      <c r="B121" s="324" t="s">
        <v>282</v>
      </c>
      <c r="C121" s="324" t="s">
        <v>324</v>
      </c>
      <c r="D121" s="324" t="s">
        <v>1825</v>
      </c>
      <c r="E121" s="325">
        <v>19031</v>
      </c>
      <c r="F121" s="324">
        <v>0.02</v>
      </c>
      <c r="G121" s="261">
        <f t="shared" si="6"/>
        <v>9515500000</v>
      </c>
      <c r="R121" t="str">
        <f t="shared" si="13"/>
        <v>EWT US 09/19/25 P53</v>
      </c>
      <c r="S121">
        <f t="shared" si="14"/>
        <v>19031</v>
      </c>
      <c r="T121" s="262">
        <f>IF(R121="","",IF(LEN(R121)&gt;9,SUMIFS(Options!$AZ$3:$AZ$32,Options!$B$3:$B$32,'Check result'!R121),SUMIFS('Master P&amp;L'!$AE$11:$AE$106,'Master P&amp;L'!$B$11:$B$106,'Check result'!R121)))</f>
        <v>0</v>
      </c>
      <c r="U121" s="262">
        <f t="shared" si="15"/>
        <v>0</v>
      </c>
      <c r="V121" s="261">
        <f t="shared" si="16"/>
        <v>19031</v>
      </c>
      <c r="W121">
        <f t="shared" si="17"/>
        <v>0.02</v>
      </c>
    </row>
    <row r="122" spans="1:23">
      <c r="A122" s="323">
        <v>45840</v>
      </c>
      <c r="B122" s="324" t="s">
        <v>282</v>
      </c>
      <c r="C122" s="324" t="s">
        <v>324</v>
      </c>
      <c r="D122" s="324" t="s">
        <v>1786</v>
      </c>
      <c r="E122" s="325">
        <v>21895</v>
      </c>
      <c r="F122" s="324">
        <v>0.02</v>
      </c>
      <c r="G122" s="261">
        <f t="shared" si="6"/>
        <v>10947500000</v>
      </c>
      <c r="R122" t="str">
        <f t="shared" si="13"/>
        <v>EWT US 09/19/25 P50</v>
      </c>
      <c r="S122">
        <f t="shared" si="14"/>
        <v>21895</v>
      </c>
      <c r="T122" s="262">
        <f>IF(R122="","",IF(LEN(R122)&gt;9,SUMIFS(Options!$AZ$3:$AZ$32,Options!$B$3:$B$32,'Check result'!R122),SUMIFS('Master P&amp;L'!$AE$11:$AE$106,'Master P&amp;L'!$B$11:$B$106,'Check result'!R122)))</f>
        <v>0</v>
      </c>
      <c r="U122" s="262">
        <f t="shared" si="15"/>
        <v>0</v>
      </c>
      <c r="V122" s="261">
        <f t="shared" si="16"/>
        <v>21895</v>
      </c>
      <c r="W122">
        <f t="shared" si="17"/>
        <v>0.02</v>
      </c>
    </row>
    <row r="123" spans="1:23">
      <c r="A123" s="323">
        <v>45840</v>
      </c>
      <c r="B123" s="324" t="s">
        <v>282</v>
      </c>
      <c r="C123" s="324" t="s">
        <v>317</v>
      </c>
      <c r="D123" s="324" t="s">
        <v>400</v>
      </c>
      <c r="E123" s="325">
        <v>22327</v>
      </c>
      <c r="F123" s="324">
        <v>0.02</v>
      </c>
      <c r="G123" s="261">
        <f t="shared" si="6"/>
        <v>11163500000</v>
      </c>
      <c r="R123" t="str">
        <f t="shared" si="13"/>
        <v>ACN</v>
      </c>
      <c r="S123">
        <f t="shared" si="14"/>
        <v>22327</v>
      </c>
      <c r="T123" s="262">
        <f>IF(R123="","",IF(LEN(R123)&gt;9,SUMIFS(Options!$AZ$3:$AZ$32,Options!$B$3:$B$32,'Check result'!R123),SUMIFS('Master P&amp;L'!$AE$11:$AE$106,'Master P&amp;L'!$B$11:$B$106,'Check result'!R123)))</f>
        <v>0</v>
      </c>
      <c r="U123" s="262">
        <f t="shared" si="15"/>
        <v>0</v>
      </c>
      <c r="V123" s="261">
        <f t="shared" si="16"/>
        <v>22327</v>
      </c>
      <c r="W123">
        <f t="shared" si="17"/>
        <v>0.02</v>
      </c>
    </row>
    <row r="124" spans="1:23">
      <c r="A124" s="323">
        <v>45840</v>
      </c>
      <c r="B124" s="324" t="s">
        <v>282</v>
      </c>
      <c r="C124" s="324" t="s">
        <v>319</v>
      </c>
      <c r="D124" s="324" t="s">
        <v>1809</v>
      </c>
      <c r="E124" s="325">
        <v>24209</v>
      </c>
      <c r="F124" s="324">
        <v>0.02</v>
      </c>
      <c r="G124" s="261">
        <f t="shared" si="6"/>
        <v>12104500000</v>
      </c>
      <c r="R124" t="str">
        <f t="shared" si="13"/>
        <v>MSFT US 08/15/25 P490</v>
      </c>
      <c r="S124">
        <f t="shared" si="14"/>
        <v>24209</v>
      </c>
      <c r="T124" s="262">
        <f>IF(R124="","",IF(LEN(R124)&gt;9,SUMIFS(Options!$AZ$3:$AZ$32,Options!$B$3:$B$32,'Check result'!R124),SUMIFS('Master P&amp;L'!$AE$11:$AE$106,'Master P&amp;L'!$B$11:$B$106,'Check result'!R124)))</f>
        <v>0</v>
      </c>
      <c r="U124" s="262">
        <f t="shared" si="15"/>
        <v>0</v>
      </c>
      <c r="V124" s="261">
        <f t="shared" si="16"/>
        <v>24209</v>
      </c>
      <c r="W124">
        <f t="shared" si="17"/>
        <v>0.02</v>
      </c>
    </row>
    <row r="125" spans="1:23">
      <c r="A125" s="323">
        <v>45840</v>
      </c>
      <c r="B125" s="324" t="s">
        <v>282</v>
      </c>
      <c r="C125" s="324" t="s">
        <v>317</v>
      </c>
      <c r="D125" s="324" t="s">
        <v>87</v>
      </c>
      <c r="E125" s="325">
        <v>25173</v>
      </c>
      <c r="F125" s="324">
        <v>0.02</v>
      </c>
      <c r="G125" s="261">
        <f t="shared" si="6"/>
        <v>12586500000</v>
      </c>
      <c r="R125" t="str">
        <f t="shared" si="13"/>
        <v>V</v>
      </c>
      <c r="S125">
        <f t="shared" si="14"/>
        <v>25173</v>
      </c>
      <c r="T125" s="262">
        <f>IF(R125="","",IF(LEN(R125)&gt;9,SUMIFS(Options!$AZ$3:$AZ$32,Options!$B$3:$B$32,'Check result'!R125),SUMIFS('Master P&amp;L'!$AE$11:$AE$106,'Master P&amp;L'!$B$11:$B$106,'Check result'!R125)))</f>
        <v>0</v>
      </c>
      <c r="U125" s="262">
        <f t="shared" si="15"/>
        <v>0</v>
      </c>
      <c r="V125" s="261">
        <f t="shared" si="16"/>
        <v>25173</v>
      </c>
      <c r="W125">
        <f t="shared" si="17"/>
        <v>0.02</v>
      </c>
    </row>
    <row r="126" spans="1:23">
      <c r="A126" s="323">
        <v>45840</v>
      </c>
      <c r="B126" s="324" t="s">
        <v>282</v>
      </c>
      <c r="C126" s="324" t="s">
        <v>317</v>
      </c>
      <c r="D126" s="324" t="s">
        <v>1743</v>
      </c>
      <c r="E126" s="325">
        <v>28939</v>
      </c>
      <c r="F126" s="324">
        <v>0.03</v>
      </c>
      <c r="G126" s="261">
        <f t="shared" si="6"/>
        <v>9646333333.333334</v>
      </c>
      <c r="R126" t="str">
        <f t="shared" si="13"/>
        <v>CPNG</v>
      </c>
      <c r="S126">
        <f t="shared" si="14"/>
        <v>28939</v>
      </c>
      <c r="T126" s="262">
        <f>IF(R126="","",IF(LEN(R126)&gt;9,SUMIFS(Options!$AZ$3:$AZ$32,Options!$B$3:$B$32,'Check result'!R126),SUMIFS('Master P&amp;L'!$AE$11:$AE$106,'Master P&amp;L'!$B$11:$B$106,'Check result'!R126)))</f>
        <v>0</v>
      </c>
      <c r="U126" s="262">
        <f t="shared" si="15"/>
        <v>0</v>
      </c>
      <c r="V126" s="261">
        <f t="shared" si="16"/>
        <v>28939</v>
      </c>
      <c r="W126">
        <f t="shared" si="17"/>
        <v>2.9999999999999995E-2</v>
      </c>
    </row>
    <row r="127" spans="1:23">
      <c r="A127" s="323">
        <v>45840</v>
      </c>
      <c r="B127" s="324" t="s">
        <v>282</v>
      </c>
      <c r="C127" s="324" t="s">
        <v>320</v>
      </c>
      <c r="D127" s="324" t="s">
        <v>1693</v>
      </c>
      <c r="E127" s="325">
        <v>29919</v>
      </c>
      <c r="F127" s="324">
        <v>0.03</v>
      </c>
      <c r="G127" s="261">
        <f t="shared" si="6"/>
        <v>9973000000</v>
      </c>
      <c r="R127" t="str">
        <f t="shared" si="13"/>
        <v>GLD</v>
      </c>
      <c r="S127">
        <f t="shared" si="14"/>
        <v>29919</v>
      </c>
      <c r="T127" s="262">
        <f>IF(R127="","",IF(LEN(R127)&gt;9,SUMIFS(Options!$AZ$3:$AZ$32,Options!$B$3:$B$32,'Check result'!R127),SUMIFS('Master P&amp;L'!$AE$11:$AE$106,'Master P&amp;L'!$B$11:$B$106,'Check result'!R127)))</f>
        <v>0</v>
      </c>
      <c r="U127" s="262">
        <f t="shared" si="15"/>
        <v>0</v>
      </c>
      <c r="V127" s="261">
        <f t="shared" si="16"/>
        <v>29919</v>
      </c>
      <c r="W127">
        <f t="shared" si="17"/>
        <v>3.0000000000000002E-2</v>
      </c>
    </row>
    <row r="128" spans="1:23">
      <c r="A128" s="323">
        <v>45840</v>
      </c>
      <c r="B128" s="324" t="s">
        <v>282</v>
      </c>
      <c r="C128" s="324" t="s">
        <v>324</v>
      </c>
      <c r="D128" s="324" t="s">
        <v>1763</v>
      </c>
      <c r="E128" s="325">
        <v>31799</v>
      </c>
      <c r="F128" s="324">
        <v>0.03</v>
      </c>
      <c r="G128" s="261">
        <f t="shared" si="6"/>
        <v>10599666666.666668</v>
      </c>
      <c r="R128" t="str">
        <f t="shared" si="13"/>
        <v>GLD US 07/18/25 C315</v>
      </c>
      <c r="S128">
        <f t="shared" si="14"/>
        <v>31799</v>
      </c>
      <c r="T128" s="262">
        <f>IF(R128="","",IF(LEN(R128)&gt;9,SUMIFS(Options!$AZ$3:$AZ$32,Options!$B$3:$B$32,'Check result'!R128),SUMIFS('Master P&amp;L'!$AE$11:$AE$106,'Master P&amp;L'!$B$11:$B$106,'Check result'!R128)))</f>
        <v>0</v>
      </c>
      <c r="U128" s="262">
        <f t="shared" si="15"/>
        <v>0</v>
      </c>
      <c r="V128" s="261">
        <f t="shared" si="16"/>
        <v>31799</v>
      </c>
      <c r="W128">
        <f t="shared" si="17"/>
        <v>2.9999999999999995E-2</v>
      </c>
    </row>
    <row r="129" spans="1:23">
      <c r="A129" s="323">
        <v>45840</v>
      </c>
      <c r="B129" s="324" t="s">
        <v>282</v>
      </c>
      <c r="C129" s="324" t="s">
        <v>324</v>
      </c>
      <c r="D129" s="324" t="s">
        <v>1820</v>
      </c>
      <c r="E129" s="325">
        <v>32144</v>
      </c>
      <c r="F129" s="324">
        <v>0.03</v>
      </c>
      <c r="G129" s="261">
        <f t="shared" si="6"/>
        <v>10714666666.666668</v>
      </c>
      <c r="R129" t="str">
        <f t="shared" si="13"/>
        <v>QQQ US 07/18/25 P530</v>
      </c>
      <c r="S129">
        <f t="shared" si="14"/>
        <v>32144</v>
      </c>
      <c r="T129" s="262">
        <f>IF(R129="","",IF(LEN(R129)&gt;9,SUMIFS(Options!$AZ$3:$AZ$32,Options!$B$3:$B$32,'Check result'!R129),SUMIFS('Master P&amp;L'!$AE$11:$AE$106,'Master P&amp;L'!$B$11:$B$106,'Check result'!R129)))</f>
        <v>0</v>
      </c>
      <c r="U129" s="262">
        <f t="shared" si="15"/>
        <v>0</v>
      </c>
      <c r="V129" s="261">
        <f t="shared" si="16"/>
        <v>32144</v>
      </c>
      <c r="W129">
        <f t="shared" si="17"/>
        <v>2.9999999999999995E-2</v>
      </c>
    </row>
    <row r="130" spans="1:23">
      <c r="A130" s="323">
        <v>45840</v>
      </c>
      <c r="B130" s="324" t="s">
        <v>282</v>
      </c>
      <c r="C130" s="324" t="s">
        <v>324</v>
      </c>
      <c r="D130" s="324" t="s">
        <v>1779</v>
      </c>
      <c r="E130" s="325">
        <v>32258</v>
      </c>
      <c r="F130" s="324">
        <v>0.03</v>
      </c>
      <c r="G130" s="261">
        <f t="shared" si="6"/>
        <v>10752666666.666668</v>
      </c>
      <c r="R130" t="str">
        <f t="shared" si="13"/>
        <v>QQQ US 07/18/25 P515</v>
      </c>
      <c r="S130">
        <f t="shared" si="14"/>
        <v>32258</v>
      </c>
      <c r="T130" s="262">
        <f>IF(R130="","",IF(LEN(R130)&gt;9,SUMIFS(Options!$AZ$3:$AZ$32,Options!$B$3:$B$32,'Check result'!R130),SUMIFS('Master P&amp;L'!$AE$11:$AE$106,'Master P&amp;L'!$B$11:$B$106,'Check result'!R130)))</f>
        <v>0</v>
      </c>
      <c r="U130" s="262">
        <f t="shared" si="15"/>
        <v>0</v>
      </c>
      <c r="V130" s="261">
        <f t="shared" si="16"/>
        <v>32258</v>
      </c>
      <c r="W130">
        <f t="shared" si="17"/>
        <v>2.9999999999999995E-2</v>
      </c>
    </row>
    <row r="131" spans="1:23">
      <c r="A131" s="323">
        <v>45840</v>
      </c>
      <c r="B131" s="324" t="s">
        <v>282</v>
      </c>
      <c r="C131" s="324" t="s">
        <v>317</v>
      </c>
      <c r="D131" s="324" t="s">
        <v>85</v>
      </c>
      <c r="E131" s="325">
        <v>32799</v>
      </c>
      <c r="F131" s="324">
        <v>0.03</v>
      </c>
      <c r="G131" s="261">
        <f t="shared" ref="G131:G165" si="18">+E131/F131*10000</f>
        <v>10933000000</v>
      </c>
      <c r="R131" t="str">
        <f t="shared" si="13"/>
        <v>BRK/B</v>
      </c>
      <c r="S131">
        <f t="shared" si="14"/>
        <v>32799</v>
      </c>
      <c r="T131" s="262">
        <f>IF(R131="","",IF(LEN(R131)&gt;9,SUMIFS(Options!$AZ$3:$AZ$32,Options!$B$3:$B$32,'Check result'!R131),SUMIFS('Master P&amp;L'!$AE$11:$AE$106,'Master P&amp;L'!$B$11:$B$106,'Check result'!R131)))</f>
        <v>0</v>
      </c>
      <c r="U131" s="262">
        <f t="shared" si="15"/>
        <v>0</v>
      </c>
      <c r="V131" s="261">
        <f t="shared" si="16"/>
        <v>32799</v>
      </c>
      <c r="W131">
        <f t="shared" si="17"/>
        <v>3.0000000000000002E-2</v>
      </c>
    </row>
    <row r="132" spans="1:23">
      <c r="A132" s="323">
        <v>45840</v>
      </c>
      <c r="B132" s="324" t="s">
        <v>282</v>
      </c>
      <c r="C132" s="324" t="s">
        <v>319</v>
      </c>
      <c r="D132" s="324" t="s">
        <v>1698</v>
      </c>
      <c r="E132" s="325">
        <v>34180</v>
      </c>
      <c r="F132" s="324">
        <v>0.03</v>
      </c>
      <c r="G132" s="261">
        <f t="shared" si="18"/>
        <v>11393333333.333334</v>
      </c>
      <c r="R132" t="str">
        <f t="shared" si="13"/>
        <v>UBER US 07/18/25 C100</v>
      </c>
      <c r="S132">
        <f t="shared" si="14"/>
        <v>34180</v>
      </c>
      <c r="T132" s="262">
        <f>IF(R132="","",IF(LEN(R132)&gt;9,SUMIFS(Options!$AZ$3:$AZ$32,Options!$B$3:$B$32,'Check result'!R132),SUMIFS('Master P&amp;L'!$AE$11:$AE$106,'Master P&amp;L'!$B$11:$B$106,'Check result'!R132)))</f>
        <v>0</v>
      </c>
      <c r="U132" s="262">
        <f t="shared" si="15"/>
        <v>0</v>
      </c>
      <c r="V132" s="261">
        <f t="shared" si="16"/>
        <v>34180</v>
      </c>
      <c r="W132">
        <f t="shared" si="17"/>
        <v>2.9999999999999995E-2</v>
      </c>
    </row>
    <row r="133" spans="1:23">
      <c r="A133" s="323">
        <v>45840</v>
      </c>
      <c r="B133" s="324" t="s">
        <v>282</v>
      </c>
      <c r="C133" s="324" t="s">
        <v>319</v>
      </c>
      <c r="D133" s="324" t="s">
        <v>1799</v>
      </c>
      <c r="E133" s="325">
        <v>36549</v>
      </c>
      <c r="F133" s="324">
        <v>0.03</v>
      </c>
      <c r="G133" s="261">
        <f t="shared" si="18"/>
        <v>12183000000</v>
      </c>
      <c r="R133" t="str">
        <f t="shared" si="13"/>
        <v>MU US 07/18/25 C130</v>
      </c>
      <c r="S133">
        <f t="shared" si="14"/>
        <v>36549</v>
      </c>
      <c r="T133" s="262">
        <f>IF(R133="","",IF(LEN(R133)&gt;9,SUMIFS(Options!$AZ$3:$AZ$32,Options!$B$3:$B$32,'Check result'!R133),SUMIFS('Master P&amp;L'!$AE$11:$AE$106,'Master P&amp;L'!$B$11:$B$106,'Check result'!R133)))</f>
        <v>0</v>
      </c>
      <c r="U133" s="262">
        <f t="shared" si="15"/>
        <v>0</v>
      </c>
      <c r="V133" s="261">
        <f t="shared" si="16"/>
        <v>36549</v>
      </c>
      <c r="W133">
        <f t="shared" si="17"/>
        <v>3.0000000000000002E-2</v>
      </c>
    </row>
    <row r="134" spans="1:23">
      <c r="A134" s="323">
        <v>45840</v>
      </c>
      <c r="B134" s="324" t="s">
        <v>282</v>
      </c>
      <c r="C134" s="324" t="s">
        <v>39</v>
      </c>
      <c r="D134" s="324" t="s">
        <v>1686</v>
      </c>
      <c r="E134" s="325">
        <v>42081</v>
      </c>
      <c r="F134" s="324">
        <v>0.04</v>
      </c>
      <c r="G134" s="261">
        <f t="shared" si="18"/>
        <v>10520250000</v>
      </c>
      <c r="R134" t="str">
        <f t="shared" si="13"/>
        <v>TEVA</v>
      </c>
      <c r="S134">
        <f t="shared" si="14"/>
        <v>42081</v>
      </c>
      <c r="T134" s="262">
        <f>IF(R134="","",IF(LEN(R134)&gt;9,SUMIFS(Options!$AZ$3:$AZ$32,Options!$B$3:$B$32,'Check result'!R134),SUMIFS('Master P&amp;L'!$AE$11:$AE$106,'Master P&amp;L'!$B$11:$B$106,'Check result'!R134)))</f>
        <v>0</v>
      </c>
      <c r="U134" s="262">
        <f t="shared" si="15"/>
        <v>0</v>
      </c>
      <c r="V134" s="261">
        <f t="shared" si="16"/>
        <v>42081</v>
      </c>
      <c r="W134">
        <f t="shared" si="17"/>
        <v>0.04</v>
      </c>
    </row>
    <row r="135" spans="1:23">
      <c r="A135" s="323">
        <v>45840</v>
      </c>
      <c r="B135" s="324" t="s">
        <v>282</v>
      </c>
      <c r="C135" s="324" t="s">
        <v>324</v>
      </c>
      <c r="D135" s="324" t="s">
        <v>1817</v>
      </c>
      <c r="E135" s="325">
        <v>42819</v>
      </c>
      <c r="F135" s="324">
        <v>0.04</v>
      </c>
      <c r="G135" s="261">
        <f t="shared" si="18"/>
        <v>10704750000</v>
      </c>
      <c r="R135" t="str">
        <f t="shared" si="13"/>
        <v>SOXX US 07/18/25 P220</v>
      </c>
      <c r="S135">
        <f t="shared" si="14"/>
        <v>42819</v>
      </c>
      <c r="T135" s="262">
        <f>IF(R135="","",IF(LEN(R135)&gt;9,SUMIFS(Options!$AZ$3:$AZ$32,Options!$B$3:$B$32,'Check result'!R135),SUMIFS('Master P&amp;L'!$AE$11:$AE$106,'Master P&amp;L'!$B$11:$B$106,'Check result'!R135)))</f>
        <v>0</v>
      </c>
      <c r="U135" s="262">
        <f t="shared" si="15"/>
        <v>0</v>
      </c>
      <c r="V135" s="261">
        <f t="shared" si="16"/>
        <v>42819</v>
      </c>
      <c r="W135">
        <f t="shared" si="17"/>
        <v>0.04</v>
      </c>
    </row>
    <row r="136" spans="1:23">
      <c r="A136" s="323">
        <v>45840</v>
      </c>
      <c r="B136" s="324" t="s">
        <v>282</v>
      </c>
      <c r="C136" s="324" t="s">
        <v>317</v>
      </c>
      <c r="D136" s="324" t="s">
        <v>1753</v>
      </c>
      <c r="E136" s="325">
        <v>45078</v>
      </c>
      <c r="F136" s="324">
        <v>0.04</v>
      </c>
      <c r="G136" s="261">
        <f t="shared" si="18"/>
        <v>11269500000</v>
      </c>
      <c r="R136" t="str">
        <f t="shared" si="13"/>
        <v>WDAY</v>
      </c>
      <c r="S136">
        <f t="shared" si="14"/>
        <v>45078</v>
      </c>
      <c r="T136" s="262">
        <f>IF(R136="","",IF(LEN(R136)&gt;9,SUMIFS(Options!$AZ$3:$AZ$32,Options!$B$3:$B$32,'Check result'!R136),SUMIFS('Master P&amp;L'!$AE$11:$AE$106,'Master P&amp;L'!$B$11:$B$106,'Check result'!R136)))</f>
        <v>0</v>
      </c>
      <c r="U136" s="262">
        <f t="shared" si="15"/>
        <v>0</v>
      </c>
      <c r="V136" s="261">
        <f t="shared" si="16"/>
        <v>45078</v>
      </c>
      <c r="W136">
        <f t="shared" si="17"/>
        <v>0.04</v>
      </c>
    </row>
    <row r="137" spans="1:23">
      <c r="A137" s="323">
        <v>45840</v>
      </c>
      <c r="B137" s="324" t="s">
        <v>282</v>
      </c>
      <c r="C137" s="324" t="s">
        <v>319</v>
      </c>
      <c r="D137" s="324" t="s">
        <v>1769</v>
      </c>
      <c r="E137" s="325">
        <v>46113</v>
      </c>
      <c r="F137" s="324">
        <v>0.04</v>
      </c>
      <c r="G137" s="261">
        <f t="shared" si="18"/>
        <v>11528250000</v>
      </c>
      <c r="R137" t="str">
        <f t="shared" si="13"/>
        <v>MA US 07/18/25 C580</v>
      </c>
      <c r="S137">
        <f t="shared" si="14"/>
        <v>46113</v>
      </c>
      <c r="T137" s="262">
        <f>IF(R137="","",IF(LEN(R137)&gt;9,SUMIFS(Options!$AZ$3:$AZ$32,Options!$B$3:$B$32,'Check result'!R137),SUMIFS('Master P&amp;L'!$AE$11:$AE$106,'Master P&amp;L'!$B$11:$B$106,'Check result'!R137)))</f>
        <v>0</v>
      </c>
      <c r="U137" s="262">
        <f t="shared" si="15"/>
        <v>0</v>
      </c>
      <c r="V137" s="261">
        <f t="shared" si="16"/>
        <v>46113</v>
      </c>
      <c r="W137">
        <f t="shared" si="17"/>
        <v>0.04</v>
      </c>
    </row>
    <row r="138" spans="1:23">
      <c r="A138" s="323">
        <v>45840</v>
      </c>
      <c r="B138" s="324" t="s">
        <v>282</v>
      </c>
      <c r="C138" s="324" t="s">
        <v>319</v>
      </c>
      <c r="D138" s="324" t="s">
        <v>1802</v>
      </c>
      <c r="E138" s="325">
        <v>46520</v>
      </c>
      <c r="F138" s="324">
        <v>0.04</v>
      </c>
      <c r="G138" s="261">
        <f t="shared" si="18"/>
        <v>11630000000</v>
      </c>
      <c r="R138" t="str">
        <f t="shared" si="13"/>
        <v>KKR US 07/18/25 C130</v>
      </c>
      <c r="S138">
        <f t="shared" si="14"/>
        <v>46520</v>
      </c>
      <c r="T138" s="262">
        <f>IF(R138="","",IF(LEN(R138)&gt;9,SUMIFS(Options!$AZ$3:$AZ$32,Options!$B$3:$B$32,'Check result'!R138),SUMIFS('Master P&amp;L'!$AE$11:$AE$106,'Master P&amp;L'!$B$11:$B$106,'Check result'!R138)))</f>
        <v>0</v>
      </c>
      <c r="U138" s="262">
        <f t="shared" si="15"/>
        <v>0</v>
      </c>
      <c r="V138" s="261">
        <f t="shared" si="16"/>
        <v>46520</v>
      </c>
      <c r="W138">
        <f t="shared" si="17"/>
        <v>0.04</v>
      </c>
    </row>
    <row r="139" spans="1:23">
      <c r="A139" s="323">
        <v>45840</v>
      </c>
      <c r="B139" s="324" t="s">
        <v>282</v>
      </c>
      <c r="C139" s="324" t="s">
        <v>324</v>
      </c>
      <c r="D139" s="324" t="s">
        <v>1812</v>
      </c>
      <c r="E139" s="325">
        <v>51858</v>
      </c>
      <c r="F139" s="324">
        <v>0.05</v>
      </c>
      <c r="G139" s="261">
        <f t="shared" si="18"/>
        <v>10371600000</v>
      </c>
      <c r="R139" t="str">
        <f t="shared" si="13"/>
        <v>XLF US 07/11/25 P51</v>
      </c>
      <c r="S139">
        <f t="shared" si="14"/>
        <v>51858</v>
      </c>
      <c r="T139" s="262">
        <f>IF(R139="","",IF(LEN(R139)&gt;9,SUMIFS(Options!$AZ$3:$AZ$32,Options!$B$3:$B$32,'Check result'!R139),SUMIFS('Master P&amp;L'!$AE$11:$AE$106,'Master P&amp;L'!$B$11:$B$106,'Check result'!R139)))</f>
        <v>0</v>
      </c>
      <c r="U139" s="262">
        <f t="shared" si="15"/>
        <v>0</v>
      </c>
      <c r="V139" s="261">
        <f t="shared" si="16"/>
        <v>51858</v>
      </c>
      <c r="W139">
        <f t="shared" si="17"/>
        <v>0.05</v>
      </c>
    </row>
    <row r="140" spans="1:23">
      <c r="A140" s="323">
        <v>45840</v>
      </c>
      <c r="B140" s="324" t="s">
        <v>282</v>
      </c>
      <c r="C140" s="324" t="s">
        <v>319</v>
      </c>
      <c r="D140" s="324" t="s">
        <v>1785</v>
      </c>
      <c r="E140" s="325">
        <v>51982</v>
      </c>
      <c r="F140" s="324">
        <v>0.05</v>
      </c>
      <c r="G140" s="261">
        <f t="shared" si="18"/>
        <v>10396400000</v>
      </c>
      <c r="R140" t="str">
        <f t="shared" si="13"/>
        <v>V US 07/11/25 C350</v>
      </c>
      <c r="S140">
        <f t="shared" si="14"/>
        <v>51982</v>
      </c>
      <c r="T140" s="262">
        <f>IF(R140="","",IF(LEN(R140)&gt;9,SUMIFS(Options!$AZ$3:$AZ$32,Options!$B$3:$B$32,'Check result'!R140),SUMIFS('Master P&amp;L'!$AE$11:$AE$106,'Master P&amp;L'!$B$11:$B$106,'Check result'!R140)))</f>
        <v>0</v>
      </c>
      <c r="U140" s="262">
        <f t="shared" si="15"/>
        <v>0</v>
      </c>
      <c r="V140" s="261">
        <f t="shared" si="16"/>
        <v>51982</v>
      </c>
      <c r="W140">
        <f t="shared" si="17"/>
        <v>0.05</v>
      </c>
    </row>
    <row r="141" spans="1:23">
      <c r="A141" s="323">
        <v>45840</v>
      </c>
      <c r="B141" s="324" t="s">
        <v>282</v>
      </c>
      <c r="C141" s="324" t="s">
        <v>324</v>
      </c>
      <c r="D141" s="324" t="s">
        <v>1737</v>
      </c>
      <c r="E141" s="325">
        <v>54165</v>
      </c>
      <c r="F141" s="324">
        <v>0.05</v>
      </c>
      <c r="G141" s="261">
        <f t="shared" si="18"/>
        <v>10833000000</v>
      </c>
      <c r="R141" t="str">
        <f t="shared" si="13"/>
        <v>SPY US 07/18/25 P580</v>
      </c>
      <c r="S141">
        <f t="shared" si="14"/>
        <v>54165</v>
      </c>
      <c r="T141" s="262">
        <f>IF(R141="","",IF(LEN(R141)&gt;9,SUMIFS(Options!$AZ$3:$AZ$32,Options!$B$3:$B$32,'Check result'!R141),SUMIFS('Master P&amp;L'!$AE$11:$AE$106,'Master P&amp;L'!$B$11:$B$106,'Check result'!R141)))</f>
        <v>0</v>
      </c>
      <c r="U141" s="262">
        <f t="shared" si="15"/>
        <v>0</v>
      </c>
      <c r="V141" s="261">
        <f t="shared" si="16"/>
        <v>54165</v>
      </c>
      <c r="W141">
        <f t="shared" si="17"/>
        <v>0.05</v>
      </c>
    </row>
    <row r="142" spans="1:23">
      <c r="A142" s="323">
        <v>45840</v>
      </c>
      <c r="B142" s="324" t="s">
        <v>282</v>
      </c>
      <c r="C142" s="324" t="s">
        <v>317</v>
      </c>
      <c r="D142" s="324" t="s">
        <v>569</v>
      </c>
      <c r="E142" s="325">
        <v>55012</v>
      </c>
      <c r="F142" s="324">
        <v>0.05</v>
      </c>
      <c r="G142" s="261">
        <f t="shared" si="18"/>
        <v>11002400000</v>
      </c>
      <c r="R142" t="str">
        <f t="shared" si="13"/>
        <v>MU</v>
      </c>
      <c r="S142">
        <f t="shared" si="14"/>
        <v>55012</v>
      </c>
      <c r="T142" s="262">
        <f>IF(R142="","",IF(LEN(R142)&gt;9,SUMIFS(Options!$AZ$3:$AZ$32,Options!$B$3:$B$32,'Check result'!R142),SUMIFS('Master P&amp;L'!$AE$11:$AE$106,'Master P&amp;L'!$B$11:$B$106,'Check result'!R142)))</f>
        <v>0</v>
      </c>
      <c r="U142" s="262">
        <f t="shared" si="15"/>
        <v>0</v>
      </c>
      <c r="V142" s="261">
        <f t="shared" si="16"/>
        <v>55012</v>
      </c>
      <c r="W142">
        <f t="shared" si="17"/>
        <v>0.05</v>
      </c>
    </row>
    <row r="143" spans="1:23">
      <c r="A143" s="323">
        <v>45840</v>
      </c>
      <c r="B143" s="324" t="s">
        <v>282</v>
      </c>
      <c r="C143" s="324" t="s">
        <v>324</v>
      </c>
      <c r="D143" s="324" t="s">
        <v>241</v>
      </c>
      <c r="E143" s="325">
        <v>56117</v>
      </c>
      <c r="F143" s="324">
        <v>0.05</v>
      </c>
      <c r="G143" s="261">
        <f t="shared" si="18"/>
        <v>11223400000</v>
      </c>
      <c r="R143" t="str">
        <f t="shared" si="13"/>
        <v>GDX US 07/18/25 C50</v>
      </c>
      <c r="S143">
        <f t="shared" si="14"/>
        <v>56117</v>
      </c>
      <c r="T143" s="262">
        <f>IF(R143="","",IF(LEN(R143)&gt;9,SUMIFS(Options!$AZ$3:$AZ$32,Options!$B$3:$B$32,'Check result'!R143),SUMIFS('Master P&amp;L'!$AE$11:$AE$106,'Master P&amp;L'!$B$11:$B$106,'Check result'!R143)))</f>
        <v>0</v>
      </c>
      <c r="U143" s="262">
        <f t="shared" si="15"/>
        <v>0</v>
      </c>
      <c r="V143" s="261">
        <f t="shared" si="16"/>
        <v>56117</v>
      </c>
      <c r="W143">
        <f t="shared" si="17"/>
        <v>0.05</v>
      </c>
    </row>
    <row r="144" spans="1:23">
      <c r="A144" s="323">
        <v>45840</v>
      </c>
      <c r="B144" s="324" t="s">
        <v>282</v>
      </c>
      <c r="C144" s="324" t="s">
        <v>317</v>
      </c>
      <c r="D144" s="324" t="s">
        <v>1774</v>
      </c>
      <c r="E144" s="325">
        <v>60666</v>
      </c>
      <c r="F144" s="324">
        <v>0.05</v>
      </c>
      <c r="G144" s="261">
        <f t="shared" si="18"/>
        <v>12133200000</v>
      </c>
      <c r="R144" t="str">
        <f t="shared" si="13"/>
        <v>ADBE</v>
      </c>
      <c r="S144">
        <f t="shared" si="14"/>
        <v>60666</v>
      </c>
      <c r="T144" s="262">
        <f>IF(R144="","",IF(LEN(R144)&gt;9,SUMIFS(Options!$AZ$3:$AZ$32,Options!$B$3:$B$32,'Check result'!R144),SUMIFS('Master P&amp;L'!$AE$11:$AE$106,'Master P&amp;L'!$B$11:$B$106,'Check result'!R144)))</f>
        <v>0</v>
      </c>
      <c r="U144" s="262">
        <f t="shared" si="15"/>
        <v>0</v>
      </c>
      <c r="V144" s="261">
        <f t="shared" si="16"/>
        <v>60666</v>
      </c>
      <c r="W144">
        <f t="shared" si="17"/>
        <v>0.05</v>
      </c>
    </row>
    <row r="145" spans="1:23">
      <c r="A145" s="323">
        <v>45840</v>
      </c>
      <c r="B145" s="324" t="s">
        <v>282</v>
      </c>
      <c r="C145" s="324" t="s">
        <v>319</v>
      </c>
      <c r="D145" s="324" t="s">
        <v>1721</v>
      </c>
      <c r="E145" s="325">
        <v>65269</v>
      </c>
      <c r="F145" s="324">
        <v>0.06</v>
      </c>
      <c r="G145" s="261">
        <f t="shared" si="18"/>
        <v>10878166666.666668</v>
      </c>
      <c r="R145" t="str">
        <f t="shared" si="13"/>
        <v>NVDA US 07/18/25 P130</v>
      </c>
      <c r="S145">
        <f t="shared" si="14"/>
        <v>65269</v>
      </c>
      <c r="T145" s="262">
        <f>IF(R145="","",IF(LEN(R145)&gt;9,SUMIFS(Options!$AZ$3:$AZ$32,Options!$B$3:$B$32,'Check result'!R145),SUMIFS('Master P&amp;L'!$AE$11:$AE$106,'Master P&amp;L'!$B$11:$B$106,'Check result'!R145)))</f>
        <v>0</v>
      </c>
      <c r="U145" s="262">
        <f t="shared" si="15"/>
        <v>0</v>
      </c>
      <c r="V145" s="261">
        <f t="shared" si="16"/>
        <v>65269</v>
      </c>
      <c r="W145">
        <f t="shared" si="17"/>
        <v>5.9999999999999991E-2</v>
      </c>
    </row>
    <row r="146" spans="1:23">
      <c r="A146" s="323">
        <v>45840</v>
      </c>
      <c r="B146" s="324" t="s">
        <v>282</v>
      </c>
      <c r="C146" s="324" t="s">
        <v>317</v>
      </c>
      <c r="D146" s="324" t="s">
        <v>134</v>
      </c>
      <c r="E146" s="325">
        <v>77763</v>
      </c>
      <c r="F146" s="324">
        <v>7.0000000000000007E-2</v>
      </c>
      <c r="G146" s="261">
        <f t="shared" si="18"/>
        <v>11109000000</v>
      </c>
      <c r="R146" t="str">
        <f t="shared" si="13"/>
        <v>CRM</v>
      </c>
      <c r="S146">
        <f t="shared" si="14"/>
        <v>77763</v>
      </c>
      <c r="T146" s="262">
        <f>IF(R146="","",IF(LEN(R146)&gt;9,SUMIFS(Options!$AZ$3:$AZ$32,Options!$B$3:$B$32,'Check result'!R146),SUMIFS('Master P&amp;L'!$AE$11:$AE$106,'Master P&amp;L'!$B$11:$B$106,'Check result'!R146)))</f>
        <v>0</v>
      </c>
      <c r="U146" s="262">
        <f t="shared" si="15"/>
        <v>0</v>
      </c>
      <c r="V146" s="261">
        <f t="shared" si="16"/>
        <v>77763</v>
      </c>
      <c r="W146">
        <f t="shared" si="17"/>
        <v>6.9999999999999993E-2</v>
      </c>
    </row>
    <row r="147" spans="1:23">
      <c r="A147" s="323">
        <v>45840</v>
      </c>
      <c r="B147" s="324" t="s">
        <v>282</v>
      </c>
      <c r="C147" s="324" t="s">
        <v>324</v>
      </c>
      <c r="D147" s="324" t="s">
        <v>1831</v>
      </c>
      <c r="E147" s="325">
        <v>79295</v>
      </c>
      <c r="F147" s="324">
        <v>7.0000000000000007E-2</v>
      </c>
      <c r="G147" s="261">
        <f t="shared" si="18"/>
        <v>11327857142.857141</v>
      </c>
      <c r="R147" t="str">
        <f t="shared" si="13"/>
        <v>EWY US 07/18/25 C72</v>
      </c>
      <c r="S147">
        <f t="shared" si="14"/>
        <v>79295</v>
      </c>
      <c r="T147" s="262">
        <f>IF(R147="","",IF(LEN(R147)&gt;9,SUMIFS(Options!$AZ$3:$AZ$32,Options!$B$3:$B$32,'Check result'!R147),SUMIFS('Master P&amp;L'!$AE$11:$AE$106,'Master P&amp;L'!$B$11:$B$106,'Check result'!R147)))</f>
        <v>0</v>
      </c>
      <c r="U147" s="262">
        <f t="shared" si="15"/>
        <v>0</v>
      </c>
      <c r="V147" s="261">
        <f t="shared" si="16"/>
        <v>79295</v>
      </c>
      <c r="W147">
        <f t="shared" si="17"/>
        <v>7.0000000000000007E-2</v>
      </c>
    </row>
    <row r="148" spans="1:23">
      <c r="A148" s="323">
        <v>45840</v>
      </c>
      <c r="B148" s="324" t="s">
        <v>282</v>
      </c>
      <c r="C148" s="324" t="s">
        <v>319</v>
      </c>
      <c r="D148" s="324" t="s">
        <v>1719</v>
      </c>
      <c r="E148" s="325">
        <v>88851</v>
      </c>
      <c r="F148" s="324">
        <v>0.08</v>
      </c>
      <c r="G148" s="261">
        <f t="shared" si="18"/>
        <v>11106375000</v>
      </c>
      <c r="R148" t="str">
        <f t="shared" si="13"/>
        <v>META US 07/18/25 C750</v>
      </c>
      <c r="S148">
        <f t="shared" si="14"/>
        <v>88851</v>
      </c>
      <c r="T148" s="262">
        <f>IF(R148="","",IF(LEN(R148)&gt;9,SUMIFS(Options!$AZ$3:$AZ$32,Options!$B$3:$B$32,'Check result'!R148),SUMIFS('Master P&amp;L'!$AE$11:$AE$106,'Master P&amp;L'!$B$11:$B$106,'Check result'!R148)))</f>
        <v>0</v>
      </c>
      <c r="U148" s="262">
        <f t="shared" si="15"/>
        <v>0</v>
      </c>
      <c r="V148" s="261">
        <f t="shared" si="16"/>
        <v>88851</v>
      </c>
      <c r="W148">
        <f t="shared" si="17"/>
        <v>0.08</v>
      </c>
    </row>
    <row r="149" spans="1:23">
      <c r="A149" s="323">
        <v>45840</v>
      </c>
      <c r="B149" s="324" t="s">
        <v>282</v>
      </c>
      <c r="C149" s="324" t="s">
        <v>317</v>
      </c>
      <c r="D149" s="324" t="s">
        <v>132</v>
      </c>
      <c r="E149" s="325">
        <v>88980</v>
      </c>
      <c r="F149" s="324">
        <v>0.08</v>
      </c>
      <c r="G149" s="261">
        <f t="shared" si="18"/>
        <v>11122500000</v>
      </c>
      <c r="R149" t="str">
        <f t="shared" si="13"/>
        <v>NEM</v>
      </c>
      <c r="S149">
        <f t="shared" si="14"/>
        <v>88980</v>
      </c>
      <c r="T149" s="262">
        <f>IF(R149="","",IF(LEN(R149)&gt;9,SUMIFS(Options!$AZ$3:$AZ$32,Options!$B$3:$B$32,'Check result'!R149),SUMIFS('Master P&amp;L'!$AE$11:$AE$106,'Master P&amp;L'!$B$11:$B$106,'Check result'!R149)))</f>
        <v>0</v>
      </c>
      <c r="U149" s="262">
        <f t="shared" si="15"/>
        <v>0</v>
      </c>
      <c r="V149" s="261">
        <f t="shared" si="16"/>
        <v>88980</v>
      </c>
      <c r="W149">
        <f t="shared" si="17"/>
        <v>0.08</v>
      </c>
    </row>
    <row r="150" spans="1:23">
      <c r="A150" s="323">
        <v>45840</v>
      </c>
      <c r="B150" s="324" t="s">
        <v>282</v>
      </c>
      <c r="C150" s="324" t="s">
        <v>317</v>
      </c>
      <c r="D150" s="324" t="s">
        <v>133</v>
      </c>
      <c r="E150" s="325">
        <v>102710</v>
      </c>
      <c r="F150" s="324">
        <v>0.09</v>
      </c>
      <c r="G150" s="261">
        <f t="shared" si="18"/>
        <v>11412222222.222223</v>
      </c>
      <c r="R150" t="str">
        <f t="shared" si="13"/>
        <v>EXPE</v>
      </c>
      <c r="S150">
        <f t="shared" si="14"/>
        <v>102710</v>
      </c>
      <c r="T150" s="262">
        <f>IF(R150="","",IF(LEN(R150)&gt;9,SUMIFS(Options!$AZ$3:$AZ$32,Options!$B$3:$B$32,'Check result'!R150),SUMIFS('Master P&amp;L'!$AE$11:$AE$106,'Master P&amp;L'!$B$11:$B$106,'Check result'!R150)))</f>
        <v>0</v>
      </c>
      <c r="U150" s="262">
        <f t="shared" si="15"/>
        <v>0</v>
      </c>
      <c r="V150" s="261">
        <f t="shared" si="16"/>
        <v>102710</v>
      </c>
      <c r="W150">
        <f t="shared" si="17"/>
        <v>8.9999999999999983E-2</v>
      </c>
    </row>
    <row r="151" spans="1:23">
      <c r="A151" s="323">
        <v>45840</v>
      </c>
      <c r="B151" s="324" t="s">
        <v>282</v>
      </c>
      <c r="C151" s="324" t="s">
        <v>327</v>
      </c>
      <c r="D151" s="324" t="s">
        <v>1687</v>
      </c>
      <c r="E151" s="325">
        <v>118528</v>
      </c>
      <c r="F151" s="324">
        <v>0.1</v>
      </c>
      <c r="G151" s="261">
        <f t="shared" si="18"/>
        <v>11852800000</v>
      </c>
      <c r="R151" t="str">
        <f t="shared" si="13"/>
        <v>TEVA US 07/18/25 C17</v>
      </c>
      <c r="S151">
        <f t="shared" si="14"/>
        <v>118528</v>
      </c>
      <c r="T151" s="262">
        <f>IF(R151="","",IF(LEN(R151)&gt;9,SUMIFS(Options!$AZ$3:$AZ$32,Options!$B$3:$B$32,'Check result'!R151),SUMIFS('Master P&amp;L'!$AE$11:$AE$106,'Master P&amp;L'!$B$11:$B$106,'Check result'!R151)))</f>
        <v>0</v>
      </c>
      <c r="U151" s="262">
        <f t="shared" si="15"/>
        <v>0</v>
      </c>
      <c r="V151" s="261">
        <f t="shared" si="16"/>
        <v>118528</v>
      </c>
      <c r="W151">
        <f t="shared" si="17"/>
        <v>0.1</v>
      </c>
    </row>
    <row r="152" spans="1:23">
      <c r="A152" s="323">
        <v>45840</v>
      </c>
      <c r="B152" s="324" t="s">
        <v>282</v>
      </c>
      <c r="C152" s="324" t="s">
        <v>324</v>
      </c>
      <c r="D152" s="324" t="s">
        <v>1714</v>
      </c>
      <c r="E152" s="325">
        <v>120502</v>
      </c>
      <c r="F152" s="324">
        <v>0.11</v>
      </c>
      <c r="G152" s="261">
        <f t="shared" si="18"/>
        <v>10954727272.727272</v>
      </c>
      <c r="R152" t="str">
        <f t="shared" si="13"/>
        <v>GLD US 09/19/25 C315</v>
      </c>
      <c r="S152">
        <f t="shared" si="14"/>
        <v>120502</v>
      </c>
      <c r="T152" s="262">
        <f>IF(R152="","",IF(LEN(R152)&gt;9,SUMIFS(Options!$AZ$3:$AZ$32,Options!$B$3:$B$32,'Check result'!R152),SUMIFS('Master P&amp;L'!$AE$11:$AE$106,'Master P&amp;L'!$B$11:$B$106,'Check result'!R152)))</f>
        <v>0</v>
      </c>
      <c r="U152" s="262">
        <f t="shared" si="15"/>
        <v>0</v>
      </c>
      <c r="V152" s="261">
        <f t="shared" si="16"/>
        <v>120502</v>
      </c>
      <c r="W152">
        <f t="shared" si="17"/>
        <v>0.11000000000000001</v>
      </c>
    </row>
    <row r="153" spans="1:23">
      <c r="A153" s="323">
        <v>45840</v>
      </c>
      <c r="B153" s="324" t="s">
        <v>282</v>
      </c>
      <c r="C153" s="324" t="s">
        <v>319</v>
      </c>
      <c r="D153" s="324" t="s">
        <v>1723</v>
      </c>
      <c r="E153" s="325">
        <v>123904</v>
      </c>
      <c r="F153" s="324">
        <v>0.11</v>
      </c>
      <c r="G153" s="261">
        <f t="shared" si="18"/>
        <v>11264000000</v>
      </c>
      <c r="R153" t="str">
        <f t="shared" si="13"/>
        <v>MSFT US 07/18/25 C495</v>
      </c>
      <c r="S153">
        <f t="shared" si="14"/>
        <v>123904</v>
      </c>
      <c r="T153" s="262">
        <f>IF(R153="","",IF(LEN(R153)&gt;9,SUMIFS(Options!$AZ$3:$AZ$32,Options!$B$3:$B$32,'Check result'!R153),SUMIFS('Master P&amp;L'!$AE$11:$AE$106,'Master P&amp;L'!$B$11:$B$106,'Check result'!R153)))</f>
        <v>0</v>
      </c>
      <c r="U153" s="262">
        <f t="shared" si="15"/>
        <v>0</v>
      </c>
      <c r="V153" s="261">
        <f t="shared" si="16"/>
        <v>123904</v>
      </c>
      <c r="W153">
        <f t="shared" si="17"/>
        <v>0.11</v>
      </c>
    </row>
    <row r="154" spans="1:23">
      <c r="A154" s="323">
        <v>45840</v>
      </c>
      <c r="B154" s="324" t="s">
        <v>282</v>
      </c>
      <c r="C154" s="324" t="s">
        <v>317</v>
      </c>
      <c r="D154" s="324" t="s">
        <v>93</v>
      </c>
      <c r="E154" s="325">
        <v>177084</v>
      </c>
      <c r="F154" s="324">
        <v>0.16</v>
      </c>
      <c r="G154" s="261">
        <f t="shared" si="18"/>
        <v>11067750000</v>
      </c>
      <c r="R154" t="str">
        <f t="shared" si="13"/>
        <v>MP</v>
      </c>
      <c r="S154">
        <f t="shared" si="14"/>
        <v>177084</v>
      </c>
      <c r="T154" s="262">
        <f>IF(R154="","",IF(LEN(R154)&gt;9,SUMIFS(Options!$AZ$3:$AZ$32,Options!$B$3:$B$32,'Check result'!R154),SUMIFS('Master P&amp;L'!$AE$11:$AE$106,'Master P&amp;L'!$B$11:$B$106,'Check result'!R154)))</f>
        <v>0</v>
      </c>
      <c r="U154" s="262">
        <f t="shared" si="15"/>
        <v>0</v>
      </c>
      <c r="V154" s="261">
        <f t="shared" si="16"/>
        <v>177084</v>
      </c>
      <c r="W154">
        <f t="shared" si="17"/>
        <v>0.16</v>
      </c>
    </row>
    <row r="155" spans="1:23">
      <c r="A155" s="323">
        <v>45840</v>
      </c>
      <c r="B155" s="324" t="s">
        <v>282</v>
      </c>
      <c r="C155" s="324" t="s">
        <v>317</v>
      </c>
      <c r="D155" s="324" t="s">
        <v>1681</v>
      </c>
      <c r="E155" s="325">
        <v>199551</v>
      </c>
      <c r="F155" s="324">
        <v>0.18</v>
      </c>
      <c r="G155" s="261">
        <f t="shared" si="18"/>
        <v>11086166666.666668</v>
      </c>
      <c r="R155" t="str">
        <f t="shared" si="13"/>
        <v>COF</v>
      </c>
      <c r="S155">
        <f t="shared" si="14"/>
        <v>199551</v>
      </c>
      <c r="T155" s="262">
        <f>IF(R155="","",IF(LEN(R155)&gt;9,SUMIFS(Options!$AZ$3:$AZ$32,Options!$B$3:$B$32,'Check result'!R155),SUMIFS('Master P&amp;L'!$AE$11:$AE$106,'Master P&amp;L'!$B$11:$B$106,'Check result'!R155)))</f>
        <v>0</v>
      </c>
      <c r="U155" s="262">
        <f t="shared" si="15"/>
        <v>0</v>
      </c>
      <c r="V155" s="261">
        <f t="shared" si="16"/>
        <v>199551</v>
      </c>
      <c r="W155">
        <f t="shared" si="17"/>
        <v>0.17999999999999997</v>
      </c>
    </row>
    <row r="156" spans="1:23">
      <c r="A156" s="323">
        <v>45840</v>
      </c>
      <c r="B156" s="324" t="s">
        <v>282</v>
      </c>
      <c r="C156" s="324" t="s">
        <v>319</v>
      </c>
      <c r="D156" s="324" t="s">
        <v>1834</v>
      </c>
      <c r="E156" s="325">
        <v>214992</v>
      </c>
      <c r="F156" s="324">
        <v>0.19</v>
      </c>
      <c r="G156" s="261">
        <f t="shared" si="18"/>
        <v>11315368421.052631</v>
      </c>
      <c r="R156" t="str">
        <f t="shared" si="13"/>
        <v>MU US 08/15/25 C125</v>
      </c>
      <c r="S156">
        <f>VLOOKUP(R156,$D$2:$F$165,2,FALSE)</f>
        <v>214992</v>
      </c>
      <c r="T156" s="262">
        <f>IF(R156="","",IF(LEN(R156)&gt;9,SUMIFS(Options!$AZ$3:$AZ$32,Options!$B$3:$B$32,'Check result'!R156),SUMIFS('Master P&amp;L'!$AE$11:$AE$106,'Master P&amp;L'!$B$11:$B$106,'Check result'!R156)))</f>
        <v>0</v>
      </c>
      <c r="U156" s="262">
        <f t="shared" si="15"/>
        <v>0</v>
      </c>
      <c r="V156" s="261">
        <f t="shared" si="16"/>
        <v>214992</v>
      </c>
      <c r="W156">
        <f t="shared" si="17"/>
        <v>0.19</v>
      </c>
    </row>
    <row r="157" spans="1:23">
      <c r="A157" s="323">
        <v>45840</v>
      </c>
      <c r="B157" s="324" t="s">
        <v>282</v>
      </c>
      <c r="C157" s="324" t="s">
        <v>319</v>
      </c>
      <c r="D157" s="324" t="s">
        <v>1827</v>
      </c>
      <c r="E157" s="325">
        <v>265673</v>
      </c>
      <c r="F157" s="324">
        <v>0.23</v>
      </c>
      <c r="G157" s="261">
        <f t="shared" si="18"/>
        <v>11551000000</v>
      </c>
      <c r="R157" t="str">
        <f t="shared" si="13"/>
        <v>COIN US 07/18/25 C360</v>
      </c>
      <c r="S157">
        <f t="shared" ref="S157:S165" si="19">VLOOKUP(R157,$D$2:$F$165,2,FALSE)</f>
        <v>265673</v>
      </c>
      <c r="T157" s="262">
        <f>IF(R157="","",IF(LEN(R157)&gt;9,SUMIFS(Options!$AZ$3:$AZ$32,Options!$B$3:$B$32,'Check result'!R157),SUMIFS('Master P&amp;L'!$AE$11:$AE$106,'Master P&amp;L'!$B$11:$B$106,'Check result'!R157)))</f>
        <v>0</v>
      </c>
      <c r="U157" s="262">
        <f t="shared" si="15"/>
        <v>0</v>
      </c>
      <c r="V157" s="261">
        <f t="shared" si="16"/>
        <v>265673</v>
      </c>
      <c r="W157">
        <f t="shared" si="17"/>
        <v>0.23</v>
      </c>
    </row>
    <row r="158" spans="1:23">
      <c r="A158" s="323">
        <v>45840</v>
      </c>
      <c r="B158" s="324" t="s">
        <v>282</v>
      </c>
      <c r="C158" s="324" t="s">
        <v>327</v>
      </c>
      <c r="D158" s="324" t="s">
        <v>1704</v>
      </c>
      <c r="E158" s="325">
        <v>272398</v>
      </c>
      <c r="F158" s="324">
        <v>0.24</v>
      </c>
      <c r="G158" s="261">
        <f t="shared" si="18"/>
        <v>11349916666.666668</v>
      </c>
      <c r="R158" t="str">
        <f t="shared" si="13"/>
        <v>TEVA US 07/18/25 C18</v>
      </c>
      <c r="S158">
        <f t="shared" si="19"/>
        <v>272398</v>
      </c>
      <c r="T158" s="262">
        <f>IF(R158="","",IF(LEN(R158)&gt;9,SUMIFS(Options!$AZ$3:$AZ$32,Options!$B$3:$B$32,'Check result'!R158),SUMIFS('Master P&amp;L'!$AE$11:$AE$106,'Master P&amp;L'!$B$11:$B$106,'Check result'!R158)))</f>
        <v>0</v>
      </c>
      <c r="U158" s="262">
        <f t="shared" si="15"/>
        <v>0</v>
      </c>
      <c r="V158" s="261">
        <f t="shared" si="16"/>
        <v>272398</v>
      </c>
      <c r="W158">
        <f t="shared" si="17"/>
        <v>0.23999999999999996</v>
      </c>
    </row>
    <row r="159" spans="1:23">
      <c r="A159" s="323">
        <v>45840</v>
      </c>
      <c r="B159" s="324" t="s">
        <v>282</v>
      </c>
      <c r="C159" s="324" t="s">
        <v>39</v>
      </c>
      <c r="D159" s="324" t="s">
        <v>1678</v>
      </c>
      <c r="E159" s="325">
        <v>346269</v>
      </c>
      <c r="F159" s="324">
        <v>0.31</v>
      </c>
      <c r="G159" s="261">
        <f t="shared" si="18"/>
        <v>11169967741.935484</v>
      </c>
      <c r="R159" t="str">
        <f t="shared" si="13"/>
        <v>BP</v>
      </c>
      <c r="S159">
        <f t="shared" si="19"/>
        <v>346269</v>
      </c>
      <c r="T159" s="262">
        <f>IF(R159="","",IF(LEN(R159)&gt;9,SUMIFS(Options!$AZ$3:$AZ$32,Options!$B$3:$B$32,'Check result'!R159),SUMIFS('Master P&amp;L'!$AE$11:$AE$106,'Master P&amp;L'!$B$11:$B$106,'Check result'!R159)))</f>
        <v>0</v>
      </c>
      <c r="U159" s="262">
        <f t="shared" si="15"/>
        <v>0</v>
      </c>
      <c r="V159" s="261">
        <f t="shared" si="16"/>
        <v>346269</v>
      </c>
      <c r="W159">
        <f t="shared" si="17"/>
        <v>0.31</v>
      </c>
    </row>
    <row r="160" spans="1:23">
      <c r="A160" s="323">
        <v>45840</v>
      </c>
      <c r="B160" s="324" t="s">
        <v>282</v>
      </c>
      <c r="C160" s="324" t="s">
        <v>324</v>
      </c>
      <c r="D160" s="324" t="s">
        <v>1708</v>
      </c>
      <c r="E160" s="325">
        <v>386622</v>
      </c>
      <c r="F160" s="324">
        <v>0.34</v>
      </c>
      <c r="G160" s="261">
        <f t="shared" si="18"/>
        <v>11371235294.117645</v>
      </c>
      <c r="R160" t="str">
        <f t="shared" si="13"/>
        <v>GDX US 09/19/25 C54</v>
      </c>
      <c r="S160">
        <f t="shared" si="19"/>
        <v>386622</v>
      </c>
      <c r="T160" s="262">
        <f>IF(R160="","",IF(LEN(R160)&gt;9,SUMIFS(Options!$AZ$3:$AZ$32,Options!$B$3:$B$32,'Check result'!R160),SUMIFS('Master P&amp;L'!$AE$11:$AE$106,'Master P&amp;L'!$B$11:$B$106,'Check result'!R160)))</f>
        <v>0</v>
      </c>
      <c r="U160" s="262">
        <f t="shared" si="15"/>
        <v>0</v>
      </c>
      <c r="V160" s="261">
        <f t="shared" si="16"/>
        <v>386622</v>
      </c>
      <c r="W160">
        <f t="shared" si="17"/>
        <v>0.34000000000000008</v>
      </c>
    </row>
    <row r="161" spans="1:23">
      <c r="A161" s="323">
        <v>45840</v>
      </c>
      <c r="B161" s="324" t="s">
        <v>282</v>
      </c>
      <c r="C161" s="324" t="s">
        <v>320</v>
      </c>
      <c r="D161" s="324" t="s">
        <v>6</v>
      </c>
      <c r="E161" s="325">
        <v>876541</v>
      </c>
      <c r="F161" s="324">
        <v>0.78</v>
      </c>
      <c r="G161" s="261">
        <f t="shared" si="18"/>
        <v>11237705128.205128</v>
      </c>
      <c r="R161" t="str">
        <f t="shared" si="13"/>
        <v>KBWB</v>
      </c>
      <c r="S161">
        <f t="shared" si="19"/>
        <v>876541</v>
      </c>
      <c r="T161" s="262">
        <f>IF(R161="","",IF(LEN(R161)&gt;9,SUMIFS(Options!$AZ$3:$AZ$32,Options!$B$3:$B$32,'Check result'!R161),SUMIFS('Master P&amp;L'!$AE$11:$AE$106,'Master P&amp;L'!$B$11:$B$106,'Check result'!R161)))</f>
        <v>0</v>
      </c>
      <c r="U161" s="262">
        <f t="shared" si="15"/>
        <v>0</v>
      </c>
      <c r="V161" s="261">
        <f t="shared" si="16"/>
        <v>876541</v>
      </c>
      <c r="W161">
        <f t="shared" si="17"/>
        <v>0.78</v>
      </c>
    </row>
    <row r="162" spans="1:23">
      <c r="A162" s="323">
        <v>45840</v>
      </c>
      <c r="B162" s="324" t="s">
        <v>282</v>
      </c>
      <c r="C162" s="324" t="s">
        <v>319</v>
      </c>
      <c r="D162" s="324" t="s">
        <v>1805</v>
      </c>
      <c r="E162" s="325">
        <v>1063451</v>
      </c>
      <c r="F162" s="324">
        <v>0.94</v>
      </c>
      <c r="G162" s="261">
        <f t="shared" si="18"/>
        <v>11313308510.638298</v>
      </c>
      <c r="R162" t="str">
        <f t="shared" si="13"/>
        <v>HOOD US 07/18/25 C90</v>
      </c>
      <c r="S162">
        <f t="shared" si="19"/>
        <v>1063451</v>
      </c>
      <c r="T162" s="262">
        <f>IF(R162="","",IF(LEN(R162)&gt;9,SUMIFS(Options!$AZ$3:$AZ$32,Options!$B$3:$B$32,'Check result'!R162),SUMIFS('Master P&amp;L'!$AE$11:$AE$106,'Master P&amp;L'!$B$11:$B$106,'Check result'!R162)))</f>
        <v>0</v>
      </c>
      <c r="U162" s="262">
        <f t="shared" si="15"/>
        <v>0</v>
      </c>
      <c r="V162" s="261">
        <f t="shared" si="16"/>
        <v>1063451</v>
      </c>
      <c r="W162">
        <f t="shared" si="17"/>
        <v>0.94</v>
      </c>
    </row>
    <row r="163" spans="1:23">
      <c r="A163" s="323">
        <v>45840</v>
      </c>
      <c r="B163" s="324" t="s">
        <v>282</v>
      </c>
      <c r="C163" s="324" t="s">
        <v>327</v>
      </c>
      <c r="D163" s="324" t="s">
        <v>1829</v>
      </c>
      <c r="E163" s="325">
        <v>1307030</v>
      </c>
      <c r="F163" s="324">
        <v>1.1599999999999999</v>
      </c>
      <c r="G163" s="261">
        <f t="shared" si="18"/>
        <v>11267500000</v>
      </c>
      <c r="R163" t="str">
        <f t="shared" si="13"/>
        <v>TSM US 07/18/25 C225</v>
      </c>
      <c r="S163">
        <f t="shared" si="19"/>
        <v>1307030</v>
      </c>
      <c r="T163" s="262">
        <f>IF(R163="","",IF(LEN(R163)&gt;9,SUMIFS(Options!$AZ$3:$AZ$32,Options!$B$3:$B$32,'Check result'!R163),SUMIFS('Master P&amp;L'!$AE$11:$AE$106,'Master P&amp;L'!$B$11:$B$106,'Check result'!R163)))</f>
        <v>0</v>
      </c>
      <c r="U163" s="262">
        <f t="shared" si="15"/>
        <v>0</v>
      </c>
      <c r="V163" s="261">
        <f t="shared" si="16"/>
        <v>1307030</v>
      </c>
      <c r="W163">
        <f t="shared" si="17"/>
        <v>1.1599999999999999</v>
      </c>
    </row>
    <row r="164" spans="1:23">
      <c r="A164" s="323">
        <v>45840</v>
      </c>
      <c r="B164" s="324" t="s">
        <v>282</v>
      </c>
      <c r="C164" s="324" t="s">
        <v>317</v>
      </c>
      <c r="D164" s="324" t="s">
        <v>94</v>
      </c>
      <c r="E164" s="325">
        <v>1945989</v>
      </c>
      <c r="F164" s="324">
        <v>1.72</v>
      </c>
      <c r="G164" s="261">
        <f t="shared" si="18"/>
        <v>11313889534.88372</v>
      </c>
      <c r="R164" t="str">
        <f t="shared" si="13"/>
        <v>NVDA</v>
      </c>
      <c r="S164">
        <f t="shared" si="19"/>
        <v>1945989</v>
      </c>
      <c r="T164" s="262">
        <f>IF(R164="","",IF(LEN(R164)&gt;9,SUMIFS(Options!$AZ$3:$AZ$32,Options!$B$3:$B$32,'Check result'!R164),SUMIFS('Master P&amp;L'!$AE$11:$AE$106,'Master P&amp;L'!$B$11:$B$106,'Check result'!R164)))</f>
        <v>0</v>
      </c>
      <c r="U164" s="262">
        <f t="shared" si="15"/>
        <v>0</v>
      </c>
      <c r="V164" s="261">
        <f t="shared" si="16"/>
        <v>1945989</v>
      </c>
      <c r="W164">
        <f t="shared" si="17"/>
        <v>1.72</v>
      </c>
    </row>
    <row r="165" spans="1:23">
      <c r="A165" s="323">
        <v>45840</v>
      </c>
      <c r="B165" s="324" t="s">
        <v>282</v>
      </c>
      <c r="C165" s="324" t="s">
        <v>327</v>
      </c>
      <c r="D165" s="324" t="s">
        <v>1733</v>
      </c>
      <c r="E165" s="325">
        <v>2566077</v>
      </c>
      <c r="F165" s="324">
        <v>2.27</v>
      </c>
      <c r="G165" s="261">
        <f t="shared" si="18"/>
        <v>11304303964.75771</v>
      </c>
      <c r="R165" t="str">
        <f t="shared" si="13"/>
        <v>TSM US 10/17/25 C210</v>
      </c>
      <c r="S165">
        <f t="shared" si="19"/>
        <v>2566077</v>
      </c>
      <c r="T165" s="262">
        <f>IF(R165="","",IF(LEN(R165)&gt;9,SUMIFS(Options!$AZ$3:$AZ$32,Options!$B$3:$B$32,'Check result'!R165),SUMIFS('Master P&amp;L'!$AE$11:$AE$106,'Master P&amp;L'!$B$11:$B$106,'Check result'!R165)))</f>
        <v>0</v>
      </c>
      <c r="U165" s="262">
        <f t="shared" si="15"/>
        <v>0</v>
      </c>
      <c r="V165" s="261">
        <f t="shared" si="16"/>
        <v>2566077</v>
      </c>
      <c r="W165">
        <f t="shared" si="17"/>
        <v>2.27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>
                <anchor moveWithCells="1" sizeWithCells="1">
                  <from>
                    <xdr:col>8</xdr:col>
                    <xdr:colOff>295275</xdr:colOff>
                    <xdr:row>1</xdr:row>
                    <xdr:rowOff>38100</xdr:rowOff>
                  </from>
                  <to>
                    <xdr:col>14</xdr:col>
                    <xdr:colOff>266700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A6914-26DE-474B-89BB-6512C7DC2FB2}">
  <sheetPr codeName="Sheet4"/>
  <dimension ref="A1:X146"/>
  <sheetViews>
    <sheetView workbookViewId="0">
      <selection sqref="A1:Q144"/>
    </sheetView>
  </sheetViews>
  <sheetFormatPr defaultRowHeight="15"/>
  <sheetData>
    <row r="1" spans="1:24">
      <c r="A1" s="548" t="s">
        <v>339</v>
      </c>
      <c r="B1" s="549" t="s">
        <v>1913</v>
      </c>
      <c r="C1" s="550" t="s">
        <v>1914</v>
      </c>
      <c r="D1" s="551" t="s">
        <v>1915</v>
      </c>
      <c r="E1" s="552" t="s">
        <v>1916</v>
      </c>
      <c r="F1" s="552" t="s">
        <v>1917</v>
      </c>
      <c r="G1" s="552" t="s">
        <v>203</v>
      </c>
      <c r="H1" s="552" t="s">
        <v>218</v>
      </c>
      <c r="I1" s="552" t="s">
        <v>1918</v>
      </c>
      <c r="J1" s="552" t="s">
        <v>1919</v>
      </c>
      <c r="K1" s="553" t="s">
        <v>1920</v>
      </c>
      <c r="L1" s="554" t="s">
        <v>1921</v>
      </c>
      <c r="M1" s="555" t="s">
        <v>1922</v>
      </c>
      <c r="N1" s="551" t="s">
        <v>1923</v>
      </c>
      <c r="O1" s="546" t="s">
        <v>1924</v>
      </c>
      <c r="P1" s="556" t="s">
        <v>1</v>
      </c>
      <c r="Q1" s="568" t="s">
        <v>1925</v>
      </c>
    </row>
    <row r="2" spans="1:24">
      <c r="A2" s="483">
        <v>46055</v>
      </c>
      <c r="B2" s="557" t="s">
        <v>1896</v>
      </c>
      <c r="C2" s="558" t="s">
        <v>1929</v>
      </c>
      <c r="D2" s="427" t="s">
        <v>1930</v>
      </c>
      <c r="E2" s="428">
        <v>46101</v>
      </c>
      <c r="F2" s="427" t="s">
        <v>1931</v>
      </c>
      <c r="G2" s="427" t="s">
        <v>1932</v>
      </c>
      <c r="H2" s="427" t="s">
        <v>2146</v>
      </c>
      <c r="I2" s="427" t="s">
        <v>1927</v>
      </c>
      <c r="J2" s="559">
        <v>108.07</v>
      </c>
      <c r="K2" s="427">
        <v>4.0699999999999932</v>
      </c>
      <c r="L2" s="436">
        <v>6.73</v>
      </c>
      <c r="M2" s="560">
        <v>6.73</v>
      </c>
      <c r="N2" s="559">
        <v>6.73</v>
      </c>
      <c r="O2" s="561">
        <v>6.73</v>
      </c>
      <c r="P2" s="562">
        <v>32.02288841</v>
      </c>
      <c r="Q2" s="489" t="s">
        <v>1928</v>
      </c>
      <c r="R2" s="408">
        <f>L2-L3</f>
        <v>5.37</v>
      </c>
      <c r="T2" s="436">
        <v>8.64</v>
      </c>
      <c r="U2" s="408">
        <f>T2-T3</f>
        <v>7.08</v>
      </c>
      <c r="W2" s="436">
        <v>11.6</v>
      </c>
      <c r="X2" s="408">
        <f>W2-W3</f>
        <v>8.8999999999999986</v>
      </c>
    </row>
    <row r="3" spans="1:24">
      <c r="A3" s="483">
        <v>46055</v>
      </c>
      <c r="B3" s="557" t="s">
        <v>1897</v>
      </c>
      <c r="C3" s="558" t="s">
        <v>1934</v>
      </c>
      <c r="D3" s="427" t="s">
        <v>1930</v>
      </c>
      <c r="E3" s="428">
        <v>46101</v>
      </c>
      <c r="F3" s="427" t="s">
        <v>1931</v>
      </c>
      <c r="G3" s="427" t="s">
        <v>1932</v>
      </c>
      <c r="H3" s="427" t="s">
        <v>2147</v>
      </c>
      <c r="I3" s="427" t="s">
        <v>1927</v>
      </c>
      <c r="J3" s="559">
        <v>108.07</v>
      </c>
      <c r="K3" s="427">
        <v>0</v>
      </c>
      <c r="L3" s="436">
        <v>1.36</v>
      </c>
      <c r="M3" s="560">
        <v>1.36</v>
      </c>
      <c r="N3" s="559">
        <v>1.36</v>
      </c>
      <c r="O3" s="561">
        <v>1.36</v>
      </c>
      <c r="P3" s="562">
        <v>32.549372910000002</v>
      </c>
      <c r="Q3" s="489" t="s">
        <v>1933</v>
      </c>
      <c r="T3" s="436">
        <v>1.56</v>
      </c>
      <c r="W3" s="436">
        <v>2.7</v>
      </c>
    </row>
    <row r="4" spans="1:24">
      <c r="A4" s="483">
        <v>46055</v>
      </c>
      <c r="B4" s="557" t="s">
        <v>1939</v>
      </c>
      <c r="C4" s="558" t="s">
        <v>1940</v>
      </c>
      <c r="D4" s="427" t="s">
        <v>1941</v>
      </c>
      <c r="E4" s="428">
        <v>46280</v>
      </c>
      <c r="F4" s="427" t="s">
        <v>1931</v>
      </c>
      <c r="G4" s="427" t="s">
        <v>1932</v>
      </c>
      <c r="H4" s="427" t="s">
        <v>2148</v>
      </c>
      <c r="I4" s="427" t="s">
        <v>1927</v>
      </c>
      <c r="J4" s="563">
        <v>7961.47</v>
      </c>
      <c r="K4" s="427">
        <v>474.22100000000046</v>
      </c>
      <c r="L4" s="564">
        <v>759.63342517983335</v>
      </c>
      <c r="M4" s="565">
        <v>759.63342517983335</v>
      </c>
      <c r="N4" s="427">
        <v>759.63342517983335</v>
      </c>
      <c r="O4" s="566">
        <v>515.0744471950685</v>
      </c>
      <c r="P4" s="484">
        <v>20.745830829146882</v>
      </c>
      <c r="Q4" s="489" t="s">
        <v>1928</v>
      </c>
    </row>
    <row r="5" spans="1:24">
      <c r="A5" s="483">
        <v>46055</v>
      </c>
      <c r="B5" s="557" t="s">
        <v>1942</v>
      </c>
      <c r="C5" s="558" t="s">
        <v>1943</v>
      </c>
      <c r="D5" s="427" t="s">
        <v>1941</v>
      </c>
      <c r="E5" s="428">
        <v>46280</v>
      </c>
      <c r="F5" s="427" t="s">
        <v>1931</v>
      </c>
      <c r="G5" s="427" t="s">
        <v>1932</v>
      </c>
      <c r="H5" s="427" t="s">
        <v>2149</v>
      </c>
      <c r="I5" s="427" t="s">
        <v>1927</v>
      </c>
      <c r="J5" s="563">
        <v>7961.47</v>
      </c>
      <c r="K5" s="427">
        <v>0</v>
      </c>
      <c r="L5" s="564">
        <v>405.15744546372662</v>
      </c>
      <c r="M5" s="565">
        <v>405.15744546372662</v>
      </c>
      <c r="N5" s="427">
        <v>405.15744546372662</v>
      </c>
      <c r="O5" s="566">
        <v>247.47300095503533</v>
      </c>
      <c r="P5" s="484">
        <v>20.745830829146882</v>
      </c>
      <c r="Q5" s="489" t="s">
        <v>1928</v>
      </c>
    </row>
    <row r="6" spans="1:24">
      <c r="A6" s="483">
        <v>46055</v>
      </c>
      <c r="B6" s="484" t="s">
        <v>1944</v>
      </c>
      <c r="C6" s="558" t="s">
        <v>1945</v>
      </c>
      <c r="D6" s="427" t="s">
        <v>1946</v>
      </c>
      <c r="E6" s="428">
        <v>46129</v>
      </c>
      <c r="F6" s="427" t="s">
        <v>1931</v>
      </c>
      <c r="G6" s="427" t="s">
        <v>194</v>
      </c>
      <c r="H6" s="427" t="s">
        <v>2150</v>
      </c>
      <c r="I6" s="427"/>
      <c r="J6" s="485">
        <v>2.83</v>
      </c>
      <c r="K6" s="427">
        <v>0.28000000000000025</v>
      </c>
      <c r="L6" s="486">
        <v>0.33480613107411045</v>
      </c>
      <c r="M6" s="487">
        <v>0.33480613107411045</v>
      </c>
      <c r="N6" s="427">
        <v>0.33480613107411045</v>
      </c>
      <c r="O6" s="427">
        <v>0.33480613107411045</v>
      </c>
      <c r="P6" s="484">
        <v>27.133329750867084</v>
      </c>
      <c r="Q6" s="489" t="s">
        <v>1928</v>
      </c>
    </row>
    <row r="7" spans="1:24">
      <c r="A7" s="483">
        <v>46055</v>
      </c>
      <c r="B7" s="484" t="s">
        <v>1947</v>
      </c>
      <c r="C7" s="558" t="s">
        <v>1948</v>
      </c>
      <c r="D7" s="427" t="s">
        <v>1946</v>
      </c>
      <c r="E7" s="428">
        <v>46129</v>
      </c>
      <c r="F7" s="427" t="s">
        <v>1926</v>
      </c>
      <c r="G7" s="427" t="s">
        <v>194</v>
      </c>
      <c r="H7" s="427" t="s">
        <v>2151</v>
      </c>
      <c r="I7" s="427"/>
      <c r="J7" s="485">
        <v>2.83</v>
      </c>
      <c r="K7" s="427">
        <v>0</v>
      </c>
      <c r="L7" s="486">
        <v>4.3347026561487356E-4</v>
      </c>
      <c r="M7" s="487">
        <v>4.3347026561487356E-4</v>
      </c>
      <c r="N7" s="427">
        <v>4.3347026561487356E-4</v>
      </c>
      <c r="O7" s="427">
        <v>4.3347026561487356E-4</v>
      </c>
      <c r="P7" s="484">
        <v>32.051585069951386</v>
      </c>
      <c r="Q7" s="489" t="s">
        <v>1928</v>
      </c>
    </row>
    <row r="8" spans="1:24">
      <c r="A8" s="483">
        <v>46055</v>
      </c>
      <c r="B8" s="484" t="s">
        <v>1949</v>
      </c>
      <c r="C8" s="558" t="s">
        <v>1950</v>
      </c>
      <c r="D8" s="427" t="s">
        <v>1946</v>
      </c>
      <c r="E8" s="428">
        <v>46129</v>
      </c>
      <c r="F8" s="427" t="s">
        <v>1926</v>
      </c>
      <c r="G8" s="427" t="s">
        <v>194</v>
      </c>
      <c r="H8" s="427" t="s">
        <v>2152</v>
      </c>
      <c r="I8" s="427"/>
      <c r="J8" s="485">
        <v>2.83</v>
      </c>
      <c r="K8" s="427">
        <v>0</v>
      </c>
      <c r="L8" s="486">
        <v>1.5493537442700228E-3</v>
      </c>
      <c r="M8" s="487">
        <v>1.5493537442700228E-3</v>
      </c>
      <c r="N8" s="427">
        <v>1.5493537442700228E-3</v>
      </c>
      <c r="O8" s="427">
        <v>1.5493537442700228E-3</v>
      </c>
      <c r="P8" s="484">
        <v>24.566459931665037</v>
      </c>
      <c r="Q8" s="489" t="s">
        <v>1928</v>
      </c>
    </row>
    <row r="9" spans="1:24">
      <c r="A9" s="483">
        <v>46055</v>
      </c>
      <c r="B9" s="484" t="s">
        <v>2017</v>
      </c>
      <c r="C9" s="558" t="s">
        <v>2023</v>
      </c>
      <c r="D9" s="427" t="s">
        <v>1938</v>
      </c>
      <c r="E9" s="428">
        <v>46191</v>
      </c>
      <c r="F9" s="427" t="s">
        <v>1931</v>
      </c>
      <c r="G9" s="427" t="s">
        <v>194</v>
      </c>
      <c r="H9" s="427" t="s">
        <v>2153</v>
      </c>
      <c r="I9" s="427"/>
      <c r="J9" s="485">
        <v>341.36</v>
      </c>
      <c r="K9" s="427">
        <v>41.360000000000014</v>
      </c>
      <c r="L9" s="486">
        <v>57.5</v>
      </c>
      <c r="M9" s="487">
        <v>60.05</v>
      </c>
      <c r="N9" s="427">
        <v>58.774999999999999</v>
      </c>
      <c r="O9" s="427">
        <v>58.774999999999999</v>
      </c>
      <c r="P9" s="484"/>
      <c r="Q9" s="489" t="s">
        <v>1935</v>
      </c>
    </row>
    <row r="10" spans="1:24">
      <c r="A10" s="483">
        <v>46055</v>
      </c>
      <c r="B10" s="484" t="s">
        <v>2016</v>
      </c>
      <c r="C10" s="558" t="s">
        <v>2024</v>
      </c>
      <c r="D10" s="427" t="s">
        <v>1938</v>
      </c>
      <c r="E10" s="428">
        <v>46191</v>
      </c>
      <c r="F10" s="427" t="s">
        <v>1931</v>
      </c>
      <c r="G10" s="427" t="s">
        <v>194</v>
      </c>
      <c r="H10" s="427" t="s">
        <v>2154</v>
      </c>
      <c r="I10" s="427"/>
      <c r="J10" s="485">
        <v>341.36</v>
      </c>
      <c r="K10" s="427">
        <v>0</v>
      </c>
      <c r="L10" s="486">
        <v>22.6</v>
      </c>
      <c r="M10" s="487">
        <v>23.35</v>
      </c>
      <c r="N10" s="427">
        <v>22.975000000000001</v>
      </c>
      <c r="O10" s="427">
        <v>22.975000000000001</v>
      </c>
      <c r="P10" s="484"/>
      <c r="Q10" s="489" t="s">
        <v>1935</v>
      </c>
    </row>
    <row r="11" spans="1:24">
      <c r="A11" s="483">
        <v>46055</v>
      </c>
      <c r="B11" s="484" t="s">
        <v>2019</v>
      </c>
      <c r="C11" s="558" t="s">
        <v>2025</v>
      </c>
      <c r="D11" s="427" t="s">
        <v>1938</v>
      </c>
      <c r="E11" s="428">
        <v>46191</v>
      </c>
      <c r="F11" s="427" t="s">
        <v>1926</v>
      </c>
      <c r="G11" s="427" t="s">
        <v>194</v>
      </c>
      <c r="H11" s="427" t="s">
        <v>2155</v>
      </c>
      <c r="I11" s="427"/>
      <c r="J11" s="485">
        <v>341.36</v>
      </c>
      <c r="K11" s="427">
        <v>0</v>
      </c>
      <c r="L11" s="486">
        <v>4.45</v>
      </c>
      <c r="M11" s="487">
        <v>4.9000000000000004</v>
      </c>
      <c r="N11" s="427">
        <v>4.6750000000000007</v>
      </c>
      <c r="O11" s="427">
        <v>4.6750000000000007</v>
      </c>
      <c r="P11" s="484"/>
      <c r="Q11" s="489" t="s">
        <v>1935</v>
      </c>
    </row>
    <row r="12" spans="1:24">
      <c r="A12" s="483">
        <v>46055</v>
      </c>
      <c r="B12" s="484" t="s">
        <v>2018</v>
      </c>
      <c r="C12" s="558" t="s">
        <v>2026</v>
      </c>
      <c r="D12" s="427" t="s">
        <v>1938</v>
      </c>
      <c r="E12" s="428">
        <v>46191</v>
      </c>
      <c r="F12" s="427" t="s">
        <v>1926</v>
      </c>
      <c r="G12" s="427" t="s">
        <v>194</v>
      </c>
      <c r="H12" s="427" t="s">
        <v>2156</v>
      </c>
      <c r="I12" s="427"/>
      <c r="J12" s="485">
        <v>341.36</v>
      </c>
      <c r="K12" s="427">
        <v>0</v>
      </c>
      <c r="L12" s="486">
        <v>1.71</v>
      </c>
      <c r="M12" s="487">
        <v>2.11</v>
      </c>
      <c r="N12" s="427">
        <v>1.91</v>
      </c>
      <c r="O12" s="427">
        <v>1.91</v>
      </c>
      <c r="P12" s="484"/>
      <c r="Q12" s="489" t="s">
        <v>1935</v>
      </c>
    </row>
    <row r="13" spans="1:24">
      <c r="A13" s="483">
        <v>46055</v>
      </c>
      <c r="B13" s="484" t="s">
        <v>2022</v>
      </c>
      <c r="C13" s="558" t="s">
        <v>2027</v>
      </c>
      <c r="D13" s="427" t="s">
        <v>1937</v>
      </c>
      <c r="E13" s="428">
        <v>46191</v>
      </c>
      <c r="F13" s="427" t="s">
        <v>1926</v>
      </c>
      <c r="G13" s="427" t="s">
        <v>194</v>
      </c>
      <c r="H13" s="427" t="s">
        <v>2157</v>
      </c>
      <c r="I13" s="427"/>
      <c r="J13" s="485">
        <v>423.37</v>
      </c>
      <c r="K13" s="427">
        <v>1.6299999999999955</v>
      </c>
      <c r="L13" s="486">
        <v>26.5</v>
      </c>
      <c r="M13" s="487">
        <v>26.7</v>
      </c>
      <c r="N13" s="427">
        <v>26.6</v>
      </c>
      <c r="O13" s="427">
        <v>26.6</v>
      </c>
      <c r="P13" s="484"/>
      <c r="Q13" s="489" t="s">
        <v>1935</v>
      </c>
    </row>
    <row r="14" spans="1:24">
      <c r="A14" s="483">
        <v>46055</v>
      </c>
      <c r="B14" s="484" t="s">
        <v>2021</v>
      </c>
      <c r="C14" s="558" t="s">
        <v>2028</v>
      </c>
      <c r="D14" s="427" t="s">
        <v>1937</v>
      </c>
      <c r="E14" s="428">
        <v>46191</v>
      </c>
      <c r="F14" s="427" t="s">
        <v>1931</v>
      </c>
      <c r="G14" s="427" t="s">
        <v>194</v>
      </c>
      <c r="H14" s="427" t="s">
        <v>2158</v>
      </c>
      <c r="I14" s="427"/>
      <c r="J14" s="485">
        <v>423.37</v>
      </c>
      <c r="K14" s="427">
        <v>0</v>
      </c>
      <c r="L14" s="486">
        <v>5</v>
      </c>
      <c r="M14" s="487">
        <v>5.15</v>
      </c>
      <c r="N14" s="427">
        <v>5.0750000000000002</v>
      </c>
      <c r="O14" s="427">
        <v>5.0750000000000002</v>
      </c>
      <c r="P14" s="484"/>
      <c r="Q14" s="489" t="s">
        <v>1935</v>
      </c>
    </row>
    <row r="15" spans="1:24">
      <c r="A15" s="483">
        <v>46055</v>
      </c>
      <c r="B15" s="484" t="s">
        <v>2020</v>
      </c>
      <c r="C15" s="558" t="s">
        <v>2029</v>
      </c>
      <c r="D15" s="427" t="s">
        <v>1937</v>
      </c>
      <c r="E15" s="428">
        <v>46191</v>
      </c>
      <c r="F15" s="427" t="s">
        <v>1931</v>
      </c>
      <c r="G15" s="427" t="s">
        <v>194</v>
      </c>
      <c r="H15" s="427" t="s">
        <v>2159</v>
      </c>
      <c r="I15" s="427"/>
      <c r="J15" s="485">
        <v>423.37</v>
      </c>
      <c r="K15" s="427">
        <v>0</v>
      </c>
      <c r="L15" s="486">
        <v>1.27</v>
      </c>
      <c r="M15" s="487">
        <v>1.33</v>
      </c>
      <c r="N15" s="427">
        <v>1.3</v>
      </c>
      <c r="O15" s="427">
        <v>1.3</v>
      </c>
      <c r="P15" s="484"/>
      <c r="Q15" s="489" t="s">
        <v>1935</v>
      </c>
    </row>
    <row r="16" spans="1:24">
      <c r="A16" s="483">
        <v>46055</v>
      </c>
      <c r="B16" s="484" t="s">
        <v>2031</v>
      </c>
      <c r="C16" s="558" t="s">
        <v>2032</v>
      </c>
      <c r="D16" s="427" t="s">
        <v>1951</v>
      </c>
      <c r="E16" s="428">
        <v>46101</v>
      </c>
      <c r="F16" s="427" t="s">
        <v>1926</v>
      </c>
      <c r="G16" s="427" t="s">
        <v>194</v>
      </c>
      <c r="H16" s="427" t="s">
        <v>2160</v>
      </c>
      <c r="I16" s="427"/>
      <c r="J16" s="485">
        <v>626.14</v>
      </c>
      <c r="K16" s="427">
        <v>0</v>
      </c>
      <c r="L16" s="486">
        <v>2.56</v>
      </c>
      <c r="M16" s="487">
        <v>2.61</v>
      </c>
      <c r="N16" s="427">
        <v>2.585</v>
      </c>
      <c r="O16" s="427">
        <v>2.585</v>
      </c>
      <c r="P16" s="484"/>
      <c r="Q16" s="489" t="s">
        <v>1935</v>
      </c>
    </row>
    <row r="17" spans="1:17">
      <c r="A17" s="483">
        <v>46055</v>
      </c>
      <c r="B17" s="484" t="s">
        <v>2030</v>
      </c>
      <c r="C17" s="558" t="s">
        <v>2034</v>
      </c>
      <c r="D17" s="427" t="s">
        <v>1951</v>
      </c>
      <c r="E17" s="428">
        <v>46101</v>
      </c>
      <c r="F17" s="427" t="s">
        <v>1926</v>
      </c>
      <c r="G17" s="427" t="s">
        <v>194</v>
      </c>
      <c r="H17" s="427" t="s">
        <v>2161</v>
      </c>
      <c r="I17" s="427"/>
      <c r="J17" s="485">
        <v>626.14</v>
      </c>
      <c r="K17" s="427">
        <v>0</v>
      </c>
      <c r="L17" s="486">
        <v>5.16</v>
      </c>
      <c r="M17" s="487">
        <v>5.23</v>
      </c>
      <c r="N17" s="427">
        <v>5.1950000000000003</v>
      </c>
      <c r="O17" s="427">
        <v>5.1950000000000003</v>
      </c>
      <c r="P17" s="484"/>
      <c r="Q17" s="489" t="s">
        <v>1935</v>
      </c>
    </row>
    <row r="18" spans="1:17">
      <c r="A18" s="483">
        <v>46055</v>
      </c>
      <c r="B18" s="484" t="s">
        <v>2035</v>
      </c>
      <c r="C18" s="558" t="s">
        <v>2038</v>
      </c>
      <c r="D18" s="427" t="s">
        <v>2033</v>
      </c>
      <c r="E18" s="428">
        <v>46191</v>
      </c>
      <c r="F18" s="427" t="s">
        <v>1931</v>
      </c>
      <c r="G18" s="427" t="s">
        <v>194</v>
      </c>
      <c r="H18" s="427" t="s">
        <v>2162</v>
      </c>
      <c r="I18" s="427"/>
      <c r="J18" s="485">
        <v>242.96</v>
      </c>
      <c r="K18" s="427">
        <v>12.960000000000008</v>
      </c>
      <c r="L18" s="486">
        <v>30</v>
      </c>
      <c r="M18" s="487">
        <v>30.25</v>
      </c>
      <c r="N18" s="427">
        <v>30.125</v>
      </c>
      <c r="O18" s="427">
        <v>30.125</v>
      </c>
      <c r="P18" s="484"/>
      <c r="Q18" s="489" t="s">
        <v>1935</v>
      </c>
    </row>
    <row r="19" spans="1:17">
      <c r="A19" s="483">
        <v>46055</v>
      </c>
      <c r="B19" s="484" t="s">
        <v>2036</v>
      </c>
      <c r="C19" s="558" t="s">
        <v>2039</v>
      </c>
      <c r="D19" s="427" t="s">
        <v>2033</v>
      </c>
      <c r="E19" s="428">
        <v>46191</v>
      </c>
      <c r="F19" s="427" t="s">
        <v>1931</v>
      </c>
      <c r="G19" s="427" t="s">
        <v>194</v>
      </c>
      <c r="H19" s="427" t="s">
        <v>2163</v>
      </c>
      <c r="I19" s="427"/>
      <c r="J19" s="485">
        <v>242.96</v>
      </c>
      <c r="K19" s="427">
        <v>0</v>
      </c>
      <c r="L19" s="486">
        <v>15.25</v>
      </c>
      <c r="M19" s="487">
        <v>15.4</v>
      </c>
      <c r="N19" s="427">
        <v>15.324999999999999</v>
      </c>
      <c r="O19" s="427">
        <v>15.324999999999999</v>
      </c>
      <c r="P19" s="484"/>
      <c r="Q19" s="489" t="s">
        <v>1935</v>
      </c>
    </row>
    <row r="20" spans="1:17">
      <c r="A20" s="483">
        <v>46055</v>
      </c>
      <c r="B20" s="484" t="s">
        <v>2037</v>
      </c>
      <c r="C20" s="558" t="s">
        <v>2040</v>
      </c>
      <c r="D20" s="427" t="s">
        <v>2033</v>
      </c>
      <c r="E20" s="428">
        <v>46191</v>
      </c>
      <c r="F20" s="427" t="s">
        <v>1926</v>
      </c>
      <c r="G20" s="427" t="s">
        <v>194</v>
      </c>
      <c r="H20" s="427" t="s">
        <v>2164</v>
      </c>
      <c r="I20" s="427"/>
      <c r="J20" s="485">
        <v>242.96</v>
      </c>
      <c r="K20" s="427">
        <v>0</v>
      </c>
      <c r="L20" s="486">
        <v>5.3</v>
      </c>
      <c r="M20" s="487">
        <v>5.4</v>
      </c>
      <c r="N20" s="427">
        <v>5.35</v>
      </c>
      <c r="O20" s="427">
        <v>5.35</v>
      </c>
      <c r="P20" s="484"/>
      <c r="Q20" s="489" t="s">
        <v>1935</v>
      </c>
    </row>
    <row r="21" spans="1:17">
      <c r="A21" s="483">
        <v>46055</v>
      </c>
      <c r="B21" s="484" t="s">
        <v>2048</v>
      </c>
      <c r="C21" s="558" t="s">
        <v>2051</v>
      </c>
      <c r="D21" s="427" t="s">
        <v>1937</v>
      </c>
      <c r="E21" s="428">
        <v>46101</v>
      </c>
      <c r="F21" s="427" t="s">
        <v>1931</v>
      </c>
      <c r="G21" s="427" t="s">
        <v>194</v>
      </c>
      <c r="H21" s="427" t="s">
        <v>2166</v>
      </c>
      <c r="I21" s="427"/>
      <c r="J21" s="485">
        <v>423.37</v>
      </c>
      <c r="K21" s="427">
        <v>0</v>
      </c>
      <c r="L21" s="486">
        <v>1.1499999999999999</v>
      </c>
      <c r="M21" s="487">
        <v>1.17</v>
      </c>
      <c r="N21" s="427">
        <v>1.1599999999999999</v>
      </c>
      <c r="O21" s="427">
        <v>1.1599999999999999</v>
      </c>
      <c r="P21" s="484"/>
      <c r="Q21" s="489" t="s">
        <v>1935</v>
      </c>
    </row>
    <row r="22" spans="1:17">
      <c r="A22" s="483">
        <v>46055</v>
      </c>
      <c r="B22" s="484" t="s">
        <v>2047</v>
      </c>
      <c r="C22" s="558" t="s">
        <v>2052</v>
      </c>
      <c r="D22" s="427" t="s">
        <v>1937</v>
      </c>
      <c r="E22" s="428">
        <v>46101</v>
      </c>
      <c r="F22" s="427" t="s">
        <v>1931</v>
      </c>
      <c r="G22" s="427" t="s">
        <v>194</v>
      </c>
      <c r="H22" s="427" t="s">
        <v>2158</v>
      </c>
      <c r="I22" s="427"/>
      <c r="J22" s="485">
        <v>423.37</v>
      </c>
      <c r="K22" s="427">
        <v>0</v>
      </c>
      <c r="L22" s="486">
        <v>0.55000000000000004</v>
      </c>
      <c r="M22" s="487">
        <v>0.56000000000000005</v>
      </c>
      <c r="N22" s="427">
        <v>0.55500000000000005</v>
      </c>
      <c r="O22" s="427">
        <v>0.55500000000000005</v>
      </c>
      <c r="P22" s="484"/>
      <c r="Q22" s="489" t="s">
        <v>1935</v>
      </c>
    </row>
    <row r="23" spans="1:17" ht="45">
      <c r="A23" s="483">
        <v>46055</v>
      </c>
      <c r="B23" s="547" t="s">
        <v>2050</v>
      </c>
      <c r="C23" s="558" t="s">
        <v>2053</v>
      </c>
      <c r="D23" s="427" t="s">
        <v>1937</v>
      </c>
      <c r="E23" s="428">
        <v>46101</v>
      </c>
      <c r="F23" s="427" t="s">
        <v>1926</v>
      </c>
      <c r="G23" s="427" t="s">
        <v>194</v>
      </c>
      <c r="H23" s="427" t="s">
        <v>2167</v>
      </c>
      <c r="I23" s="427"/>
      <c r="J23" s="485">
        <v>423.37</v>
      </c>
      <c r="K23" s="427">
        <v>31.629999999999995</v>
      </c>
      <c r="L23" s="486">
        <v>34.35</v>
      </c>
      <c r="M23" s="487">
        <v>35.299999999999997</v>
      </c>
      <c r="N23" s="427">
        <v>34.825000000000003</v>
      </c>
      <c r="O23" s="427">
        <v>34.825000000000003</v>
      </c>
      <c r="P23" s="484"/>
      <c r="Q23" s="489" t="s">
        <v>1935</v>
      </c>
    </row>
    <row r="24" spans="1:17" ht="45">
      <c r="A24" s="483">
        <v>46055</v>
      </c>
      <c r="B24" s="547" t="s">
        <v>2049</v>
      </c>
      <c r="C24" s="558" t="s">
        <v>2054</v>
      </c>
      <c r="D24" s="427" t="s">
        <v>1937</v>
      </c>
      <c r="E24" s="428">
        <v>46101</v>
      </c>
      <c r="F24" s="427" t="s">
        <v>1926</v>
      </c>
      <c r="G24" s="427" t="s">
        <v>194</v>
      </c>
      <c r="H24" s="427" t="s">
        <v>2168</v>
      </c>
      <c r="I24" s="427"/>
      <c r="J24" s="485">
        <v>423.37</v>
      </c>
      <c r="K24" s="427">
        <v>41.629999999999995</v>
      </c>
      <c r="L24" s="486">
        <v>42.9</v>
      </c>
      <c r="M24" s="487">
        <v>44.4</v>
      </c>
      <c r="N24" s="427">
        <v>43.65</v>
      </c>
      <c r="O24" s="427">
        <v>43.65</v>
      </c>
      <c r="P24" s="484"/>
      <c r="Q24" s="489" t="s">
        <v>1935</v>
      </c>
    </row>
    <row r="25" spans="1:17" ht="45">
      <c r="A25" s="483">
        <v>46055</v>
      </c>
      <c r="B25" s="547" t="s">
        <v>2058</v>
      </c>
      <c r="C25" s="558" t="s">
        <v>2060</v>
      </c>
      <c r="D25" s="427" t="s">
        <v>2061</v>
      </c>
      <c r="E25" s="428">
        <v>46101</v>
      </c>
      <c r="F25" s="427" t="s">
        <v>1926</v>
      </c>
      <c r="G25" s="427" t="s">
        <v>194</v>
      </c>
      <c r="H25" s="427" t="s">
        <v>2169</v>
      </c>
      <c r="I25" s="427"/>
      <c r="J25" s="485">
        <v>78.66</v>
      </c>
      <c r="K25" s="427">
        <v>1.3400000000000034</v>
      </c>
      <c r="L25" s="486">
        <v>7.35</v>
      </c>
      <c r="M25" s="487">
        <v>7.65</v>
      </c>
      <c r="N25" s="427">
        <v>7.5</v>
      </c>
      <c r="O25" s="427">
        <v>7.5</v>
      </c>
      <c r="P25" s="484"/>
      <c r="Q25" s="489" t="s">
        <v>1935</v>
      </c>
    </row>
    <row r="26" spans="1:17" ht="45">
      <c r="A26" s="483">
        <v>46055</v>
      </c>
      <c r="B26" s="547" t="s">
        <v>2059</v>
      </c>
      <c r="C26" s="558" t="s">
        <v>2062</v>
      </c>
      <c r="D26" s="427" t="s">
        <v>2061</v>
      </c>
      <c r="E26" s="428">
        <v>46101</v>
      </c>
      <c r="F26" s="427" t="s">
        <v>1926</v>
      </c>
      <c r="G26" s="427" t="s">
        <v>194</v>
      </c>
      <c r="H26" s="427" t="s">
        <v>2170</v>
      </c>
      <c r="I26" s="427"/>
      <c r="J26" s="485">
        <v>78.66</v>
      </c>
      <c r="K26" s="427">
        <v>11.340000000000003</v>
      </c>
      <c r="L26" s="486">
        <v>13.85</v>
      </c>
      <c r="M26" s="487">
        <v>14.85</v>
      </c>
      <c r="N26" s="427">
        <v>14.35</v>
      </c>
      <c r="O26" s="427">
        <v>14.35</v>
      </c>
      <c r="P26" s="484"/>
      <c r="Q26" s="489" t="s">
        <v>1935</v>
      </c>
    </row>
    <row r="27" spans="1:17" ht="45">
      <c r="A27" s="483">
        <v>46055</v>
      </c>
      <c r="B27" s="547" t="s">
        <v>2065</v>
      </c>
      <c r="C27" s="558" t="s">
        <v>2066</v>
      </c>
      <c r="D27" s="427" t="s">
        <v>1936</v>
      </c>
      <c r="E27" s="428">
        <v>46038</v>
      </c>
      <c r="F27" s="427" t="s">
        <v>1926</v>
      </c>
      <c r="G27" s="427" t="s">
        <v>194</v>
      </c>
      <c r="H27" s="427" t="s">
        <v>2171</v>
      </c>
      <c r="I27" s="427"/>
      <c r="J27" s="563">
        <v>37.450000000000003</v>
      </c>
      <c r="K27" s="427">
        <v>0</v>
      </c>
      <c r="L27" s="564">
        <v>0.83499999999999996</v>
      </c>
      <c r="M27" s="565">
        <v>0.83499999999999996</v>
      </c>
      <c r="N27" s="427">
        <v>0.83499999999999996</v>
      </c>
      <c r="O27" s="427">
        <v>0.83499999999999996</v>
      </c>
      <c r="P27" s="484">
        <v>0</v>
      </c>
      <c r="Q27" s="489" t="s">
        <v>1928</v>
      </c>
    </row>
    <row r="28" spans="1:17" ht="45">
      <c r="A28" s="483">
        <v>46055</v>
      </c>
      <c r="B28" s="547" t="s">
        <v>2068</v>
      </c>
      <c r="C28" s="558" t="s">
        <v>2070</v>
      </c>
      <c r="D28" s="427" t="s">
        <v>2071</v>
      </c>
      <c r="E28" s="428">
        <v>46129</v>
      </c>
      <c r="F28" s="427" t="s">
        <v>1931</v>
      </c>
      <c r="G28" s="427" t="s">
        <v>194</v>
      </c>
      <c r="H28" s="427" t="s">
        <v>2172</v>
      </c>
      <c r="I28" s="427"/>
      <c r="J28" s="485">
        <v>706.41</v>
      </c>
      <c r="K28" s="427">
        <v>16.409999999999968</v>
      </c>
      <c r="L28" s="486">
        <v>48.7</v>
      </c>
      <c r="M28" s="487">
        <v>48.9</v>
      </c>
      <c r="N28" s="427">
        <v>48.8</v>
      </c>
      <c r="O28" s="427">
        <v>48.8</v>
      </c>
      <c r="P28" s="484"/>
      <c r="Q28" s="489" t="s">
        <v>1935</v>
      </c>
    </row>
    <row r="29" spans="1:17">
      <c r="A29" s="483">
        <v>46055</v>
      </c>
      <c r="B29" s="557" t="s">
        <v>2067</v>
      </c>
      <c r="C29" s="558" t="s">
        <v>2072</v>
      </c>
      <c r="D29" s="427" t="s">
        <v>2071</v>
      </c>
      <c r="E29" s="428">
        <v>46129</v>
      </c>
      <c r="F29" s="427" t="s">
        <v>1931</v>
      </c>
      <c r="G29" s="427" t="s">
        <v>194</v>
      </c>
      <c r="H29" s="427" t="s">
        <v>2173</v>
      </c>
      <c r="I29" s="427"/>
      <c r="J29" s="485">
        <v>706.41</v>
      </c>
      <c r="K29" s="427">
        <v>0</v>
      </c>
      <c r="L29" s="486">
        <v>21.2</v>
      </c>
      <c r="M29" s="487">
        <v>21.35</v>
      </c>
      <c r="N29" s="427">
        <v>21.274999999999999</v>
      </c>
      <c r="O29" s="427">
        <v>21.274999999999999</v>
      </c>
      <c r="P29" s="484"/>
      <c r="Q29" s="489" t="s">
        <v>1935</v>
      </c>
    </row>
    <row r="30" spans="1:17" ht="45">
      <c r="A30" s="483">
        <v>46055</v>
      </c>
      <c r="B30" s="547" t="s">
        <v>2069</v>
      </c>
      <c r="C30" s="558" t="s">
        <v>2073</v>
      </c>
      <c r="D30" s="427" t="s">
        <v>2071</v>
      </c>
      <c r="E30" s="428">
        <v>46129</v>
      </c>
      <c r="F30" s="427" t="s">
        <v>1926</v>
      </c>
      <c r="G30" s="427" t="s">
        <v>194</v>
      </c>
      <c r="H30" s="427" t="s">
        <v>2174</v>
      </c>
      <c r="I30" s="427"/>
      <c r="J30" s="485">
        <v>706.41</v>
      </c>
      <c r="K30" s="427">
        <v>0</v>
      </c>
      <c r="L30" s="486">
        <v>5.25</v>
      </c>
      <c r="M30" s="487">
        <v>5.35</v>
      </c>
      <c r="N30" s="427">
        <v>5.3</v>
      </c>
      <c r="O30" s="427">
        <v>5.3</v>
      </c>
      <c r="P30" s="484"/>
      <c r="Q30" s="489" t="s">
        <v>1935</v>
      </c>
    </row>
    <row r="31" spans="1:17" ht="45">
      <c r="A31" s="483">
        <v>46055</v>
      </c>
      <c r="B31" s="547" t="s">
        <v>2075</v>
      </c>
      <c r="C31" s="558" t="s">
        <v>2080</v>
      </c>
      <c r="D31" s="427" t="s">
        <v>2081</v>
      </c>
      <c r="E31" s="428">
        <v>46073</v>
      </c>
      <c r="F31" s="427" t="s">
        <v>1931</v>
      </c>
      <c r="G31" s="427" t="s">
        <v>194</v>
      </c>
      <c r="H31" s="427" t="s">
        <v>2175</v>
      </c>
      <c r="I31" s="427"/>
      <c r="J31" s="485">
        <v>423.42</v>
      </c>
      <c r="K31" s="427">
        <v>0</v>
      </c>
      <c r="L31" s="486">
        <v>33.6</v>
      </c>
      <c r="M31" s="487">
        <v>36.5</v>
      </c>
      <c r="N31" s="427">
        <v>35.049999999999997</v>
      </c>
      <c r="O31" s="427">
        <v>35.049999999999997</v>
      </c>
      <c r="P31" s="484"/>
      <c r="Q31" s="489" t="s">
        <v>1935</v>
      </c>
    </row>
    <row r="32" spans="1:17" ht="45">
      <c r="A32" s="483">
        <v>46055</v>
      </c>
      <c r="B32" s="547" t="s">
        <v>2074</v>
      </c>
      <c r="C32" s="558" t="s">
        <v>2082</v>
      </c>
      <c r="D32" s="427" t="s">
        <v>2081</v>
      </c>
      <c r="E32" s="428">
        <v>46073</v>
      </c>
      <c r="F32" s="427" t="s">
        <v>1931</v>
      </c>
      <c r="G32" s="427" t="s">
        <v>194</v>
      </c>
      <c r="H32" s="427" t="s">
        <v>2176</v>
      </c>
      <c r="I32" s="427"/>
      <c r="J32" s="485">
        <v>423.42</v>
      </c>
      <c r="K32" s="427">
        <v>23.420000000000016</v>
      </c>
      <c r="L32" s="486">
        <v>56.6</v>
      </c>
      <c r="M32" s="487">
        <v>59.5</v>
      </c>
      <c r="N32" s="427">
        <v>58.05</v>
      </c>
      <c r="O32" s="427">
        <v>58.05</v>
      </c>
      <c r="P32" s="484"/>
      <c r="Q32" s="489" t="s">
        <v>1935</v>
      </c>
    </row>
    <row r="33" spans="1:17" ht="45">
      <c r="A33" s="483">
        <v>46055</v>
      </c>
      <c r="B33" s="547" t="s">
        <v>2078</v>
      </c>
      <c r="C33" s="558" t="s">
        <v>2083</v>
      </c>
      <c r="D33" s="427" t="s">
        <v>2084</v>
      </c>
      <c r="E33" s="428">
        <v>46101</v>
      </c>
      <c r="F33" s="427" t="s">
        <v>1931</v>
      </c>
      <c r="G33" s="427" t="s">
        <v>194</v>
      </c>
      <c r="H33" s="427" t="s">
        <v>2156</v>
      </c>
      <c r="I33" s="427"/>
      <c r="J33" s="485">
        <v>222.44</v>
      </c>
      <c r="K33" s="427">
        <v>12.439999999999998</v>
      </c>
      <c r="L33" s="486">
        <v>34.1</v>
      </c>
      <c r="M33" s="487">
        <v>35.299999999999997</v>
      </c>
      <c r="N33" s="427">
        <v>34.700000000000003</v>
      </c>
      <c r="O33" s="427">
        <v>34.700000000000003</v>
      </c>
      <c r="P33" s="484"/>
      <c r="Q33" s="489" t="s">
        <v>1935</v>
      </c>
    </row>
    <row r="34" spans="1:17" ht="45">
      <c r="A34" s="483">
        <v>46055</v>
      </c>
      <c r="B34" s="547" t="s">
        <v>2079</v>
      </c>
      <c r="C34" s="558" t="s">
        <v>2085</v>
      </c>
      <c r="D34" s="427" t="s">
        <v>2084</v>
      </c>
      <c r="E34" s="428">
        <v>46101</v>
      </c>
      <c r="F34" s="427" t="s">
        <v>1931</v>
      </c>
      <c r="G34" s="427" t="s">
        <v>194</v>
      </c>
      <c r="H34" s="427" t="s">
        <v>2155</v>
      </c>
      <c r="I34" s="427"/>
      <c r="J34" s="485">
        <v>222.44</v>
      </c>
      <c r="K34" s="427">
        <v>0</v>
      </c>
      <c r="L34" s="486">
        <v>17.600000000000001</v>
      </c>
      <c r="M34" s="487">
        <v>18.600000000000001</v>
      </c>
      <c r="N34" s="427">
        <v>18.100000000000001</v>
      </c>
      <c r="O34" s="427">
        <v>18.100000000000001</v>
      </c>
      <c r="P34" s="484"/>
      <c r="Q34" s="489" t="s">
        <v>1935</v>
      </c>
    </row>
    <row r="35" spans="1:17" ht="45">
      <c r="A35" s="483">
        <v>46055</v>
      </c>
      <c r="B35" s="547" t="s">
        <v>2088</v>
      </c>
      <c r="C35" s="558" t="s">
        <v>2090</v>
      </c>
      <c r="D35" s="427" t="s">
        <v>2091</v>
      </c>
      <c r="E35" s="428">
        <v>46101</v>
      </c>
      <c r="F35" s="427" t="s">
        <v>1931</v>
      </c>
      <c r="G35" s="427" t="s">
        <v>194</v>
      </c>
      <c r="H35" s="427" t="s">
        <v>2146</v>
      </c>
      <c r="I35" s="427"/>
      <c r="J35" s="485">
        <v>82.76</v>
      </c>
      <c r="K35" s="427">
        <v>0</v>
      </c>
      <c r="L35" s="486">
        <v>0.2</v>
      </c>
      <c r="M35" s="487">
        <v>0.28000000000000003</v>
      </c>
      <c r="N35" s="427">
        <v>0.24000000000000002</v>
      </c>
      <c r="O35" s="427">
        <v>0.24000000000000002</v>
      </c>
      <c r="P35" s="484"/>
      <c r="Q35" s="489" t="s">
        <v>1935</v>
      </c>
    </row>
    <row r="36" spans="1:17" ht="45">
      <c r="A36" s="483">
        <v>46055</v>
      </c>
      <c r="B36" s="547" t="s">
        <v>2089</v>
      </c>
      <c r="C36" s="558" t="s">
        <v>2092</v>
      </c>
      <c r="D36" s="427" t="s">
        <v>2091</v>
      </c>
      <c r="E36" s="428">
        <v>46101</v>
      </c>
      <c r="F36" s="427" t="s">
        <v>1926</v>
      </c>
      <c r="G36" s="427" t="s">
        <v>194</v>
      </c>
      <c r="H36" s="427" t="s">
        <v>2177</v>
      </c>
      <c r="I36" s="427"/>
      <c r="J36" s="485">
        <v>82.76</v>
      </c>
      <c r="K36" s="427">
        <v>0.23999999999999488</v>
      </c>
      <c r="L36" s="486">
        <v>3.55</v>
      </c>
      <c r="M36" s="487">
        <v>3.7</v>
      </c>
      <c r="N36" s="427">
        <v>3.625</v>
      </c>
      <c r="O36" s="427">
        <v>3.625</v>
      </c>
      <c r="P36" s="484"/>
      <c r="Q36" s="489" t="s">
        <v>1935</v>
      </c>
    </row>
    <row r="37" spans="1:17" ht="45">
      <c r="A37" s="483">
        <v>46055</v>
      </c>
      <c r="B37" s="547" t="s">
        <v>2087</v>
      </c>
      <c r="C37" s="558" t="s">
        <v>2093</v>
      </c>
      <c r="D37" s="427" t="s">
        <v>2091</v>
      </c>
      <c r="E37" s="428">
        <v>46101</v>
      </c>
      <c r="F37" s="427" t="s">
        <v>1926</v>
      </c>
      <c r="G37" s="427" t="s">
        <v>194</v>
      </c>
      <c r="H37" s="427" t="s">
        <v>2178</v>
      </c>
      <c r="I37" s="427"/>
      <c r="J37" s="485">
        <v>82.76</v>
      </c>
      <c r="K37" s="427">
        <v>9.2399999999999949</v>
      </c>
      <c r="L37" s="486">
        <v>9.5</v>
      </c>
      <c r="M37" s="487">
        <v>10</v>
      </c>
      <c r="N37" s="427">
        <v>9.75</v>
      </c>
      <c r="O37" s="427">
        <v>9.75</v>
      </c>
      <c r="P37" s="484"/>
      <c r="Q37" s="489" t="s">
        <v>1935</v>
      </c>
    </row>
    <row r="38" spans="1:17" ht="45">
      <c r="A38" s="483">
        <v>46055</v>
      </c>
      <c r="B38" s="547" t="s">
        <v>2095</v>
      </c>
      <c r="C38" s="558" t="s">
        <v>2098</v>
      </c>
      <c r="D38" s="427" t="s">
        <v>2061</v>
      </c>
      <c r="E38" s="428">
        <v>46101</v>
      </c>
      <c r="F38" s="427" t="s">
        <v>1926</v>
      </c>
      <c r="G38" s="427" t="s">
        <v>194</v>
      </c>
      <c r="H38" s="427" t="s">
        <v>2179</v>
      </c>
      <c r="I38" s="427"/>
      <c r="J38" s="485">
        <v>78.66</v>
      </c>
      <c r="K38" s="427">
        <v>0</v>
      </c>
      <c r="L38" s="486">
        <v>4.8499999999999996</v>
      </c>
      <c r="M38" s="487">
        <v>5.0999999999999996</v>
      </c>
      <c r="N38" s="427">
        <v>4.9749999999999996</v>
      </c>
      <c r="O38" s="427">
        <v>4.9749999999999996</v>
      </c>
      <c r="P38" s="484"/>
      <c r="Q38" s="489" t="s">
        <v>1935</v>
      </c>
    </row>
    <row r="39" spans="1:17" ht="45">
      <c r="A39" s="483">
        <v>46055</v>
      </c>
      <c r="B39" s="547" t="s">
        <v>2094</v>
      </c>
      <c r="C39" s="558" t="s">
        <v>2099</v>
      </c>
      <c r="D39" s="427" t="s">
        <v>2061</v>
      </c>
      <c r="E39" s="428">
        <v>46101</v>
      </c>
      <c r="F39" s="427" t="s">
        <v>1926</v>
      </c>
      <c r="G39" s="427" t="s">
        <v>194</v>
      </c>
      <c r="H39" s="427" t="s">
        <v>2180</v>
      </c>
      <c r="I39" s="427"/>
      <c r="J39" s="485">
        <v>78.66</v>
      </c>
      <c r="K39" s="427">
        <v>6.3400000000000034</v>
      </c>
      <c r="L39" s="486">
        <v>10.45</v>
      </c>
      <c r="M39" s="487">
        <v>10.75</v>
      </c>
      <c r="N39" s="427">
        <v>10.6</v>
      </c>
      <c r="O39" s="427">
        <v>10.6</v>
      </c>
      <c r="P39" s="484"/>
      <c r="Q39" s="489" t="s">
        <v>1935</v>
      </c>
    </row>
    <row r="40" spans="1:17" ht="45">
      <c r="A40" s="483">
        <v>46055</v>
      </c>
      <c r="B40" s="547" t="s">
        <v>2102</v>
      </c>
      <c r="C40" s="558" t="s">
        <v>2108</v>
      </c>
      <c r="D40" s="427" t="s">
        <v>2109</v>
      </c>
      <c r="E40" s="428">
        <v>46191</v>
      </c>
      <c r="F40" s="427" t="s">
        <v>1931</v>
      </c>
      <c r="G40" s="427" t="s">
        <v>194</v>
      </c>
      <c r="H40" s="427" t="s">
        <v>2181</v>
      </c>
      <c r="I40" s="427"/>
      <c r="J40" s="485">
        <v>331.11</v>
      </c>
      <c r="K40" s="427">
        <v>0</v>
      </c>
      <c r="L40" s="486">
        <v>33.799999999999997</v>
      </c>
      <c r="M40" s="487">
        <v>34.35</v>
      </c>
      <c r="N40" s="427">
        <v>34.075000000000003</v>
      </c>
      <c r="O40" s="427">
        <v>34.075000000000003</v>
      </c>
      <c r="P40" s="484"/>
      <c r="Q40" s="489" t="s">
        <v>1935</v>
      </c>
    </row>
    <row r="41" spans="1:17" ht="45">
      <c r="A41" s="483">
        <v>46055</v>
      </c>
      <c r="B41" s="547" t="s">
        <v>2104</v>
      </c>
      <c r="C41" s="558" t="s">
        <v>2110</v>
      </c>
      <c r="D41" s="427" t="s">
        <v>2109</v>
      </c>
      <c r="E41" s="428">
        <v>46191</v>
      </c>
      <c r="F41" s="427" t="s">
        <v>1931</v>
      </c>
      <c r="G41" s="427" t="s">
        <v>194</v>
      </c>
      <c r="H41" s="427" t="s">
        <v>2182</v>
      </c>
      <c r="I41" s="427"/>
      <c r="J41" s="485">
        <v>331.11</v>
      </c>
      <c r="K41" s="427">
        <v>0</v>
      </c>
      <c r="L41" s="486">
        <v>16.2</v>
      </c>
      <c r="M41" s="487">
        <v>16.649999999999999</v>
      </c>
      <c r="N41" s="427">
        <v>16.424999999999997</v>
      </c>
      <c r="O41" s="427">
        <v>16.424999999999997</v>
      </c>
      <c r="P41" s="484"/>
      <c r="Q41" s="489" t="s">
        <v>1935</v>
      </c>
    </row>
    <row r="42" spans="1:17" ht="45">
      <c r="A42" s="483">
        <v>46055</v>
      </c>
      <c r="B42" s="547" t="s">
        <v>2103</v>
      </c>
      <c r="C42" s="558" t="s">
        <v>2111</v>
      </c>
      <c r="D42" s="427" t="s">
        <v>2109</v>
      </c>
      <c r="E42" s="428">
        <v>46191</v>
      </c>
      <c r="F42" s="427" t="s">
        <v>1926</v>
      </c>
      <c r="G42" s="427" t="s">
        <v>194</v>
      </c>
      <c r="H42" s="427" t="s">
        <v>2183</v>
      </c>
      <c r="I42" s="427"/>
      <c r="J42" s="485">
        <v>331.11</v>
      </c>
      <c r="K42" s="427">
        <v>0</v>
      </c>
      <c r="L42" s="486">
        <v>14.05</v>
      </c>
      <c r="M42" s="487">
        <v>14.5</v>
      </c>
      <c r="N42" s="427">
        <v>14.275</v>
      </c>
      <c r="O42" s="427">
        <v>14.275</v>
      </c>
      <c r="P42" s="484"/>
      <c r="Q42" s="489" t="s">
        <v>1935</v>
      </c>
    </row>
    <row r="43" spans="1:17" ht="45">
      <c r="A43" s="483">
        <v>46055</v>
      </c>
      <c r="B43" s="547" t="s">
        <v>2101</v>
      </c>
      <c r="C43" s="558" t="s">
        <v>2112</v>
      </c>
      <c r="D43" s="427" t="s">
        <v>2109</v>
      </c>
      <c r="E43" s="428">
        <v>46191</v>
      </c>
      <c r="F43" s="427" t="s">
        <v>1926</v>
      </c>
      <c r="G43" s="427" t="s">
        <v>194</v>
      </c>
      <c r="H43" s="427" t="s">
        <v>2153</v>
      </c>
      <c r="I43" s="427"/>
      <c r="J43" s="485">
        <v>331.11</v>
      </c>
      <c r="K43" s="427">
        <v>0</v>
      </c>
      <c r="L43" s="486">
        <v>23.7</v>
      </c>
      <c r="M43" s="487">
        <v>24.2</v>
      </c>
      <c r="N43" s="427">
        <v>23.95</v>
      </c>
      <c r="O43" s="427">
        <v>23.95</v>
      </c>
      <c r="P43" s="484"/>
      <c r="Q43" s="489" t="s">
        <v>1935</v>
      </c>
    </row>
    <row r="44" spans="1:17" ht="45">
      <c r="A44" s="483">
        <v>46055</v>
      </c>
      <c r="B44" s="547" t="s">
        <v>2105</v>
      </c>
      <c r="C44" s="558" t="s">
        <v>2113</v>
      </c>
      <c r="D44" s="427" t="s">
        <v>2071</v>
      </c>
      <c r="E44" s="428">
        <v>46129</v>
      </c>
      <c r="F44" s="427" t="s">
        <v>1926</v>
      </c>
      <c r="G44" s="427" t="s">
        <v>194</v>
      </c>
      <c r="H44" s="427" t="s">
        <v>2184</v>
      </c>
      <c r="I44" s="427"/>
      <c r="J44" s="485">
        <v>706.41</v>
      </c>
      <c r="K44" s="427">
        <v>0</v>
      </c>
      <c r="L44" s="486">
        <v>6.25</v>
      </c>
      <c r="M44" s="487">
        <v>6.35</v>
      </c>
      <c r="N44" s="427">
        <v>6.3</v>
      </c>
      <c r="O44" s="427">
        <v>6.3</v>
      </c>
      <c r="P44" s="484"/>
      <c r="Q44" s="489" t="s">
        <v>1935</v>
      </c>
    </row>
    <row r="45" spans="1:17" ht="45">
      <c r="A45" s="483">
        <v>46055</v>
      </c>
      <c r="B45" s="547" t="s">
        <v>2097</v>
      </c>
      <c r="C45" s="558" t="s">
        <v>2114</v>
      </c>
      <c r="D45" s="427" t="s">
        <v>1938</v>
      </c>
      <c r="E45" s="428">
        <v>46101</v>
      </c>
      <c r="F45" s="427" t="s">
        <v>1931</v>
      </c>
      <c r="G45" s="427" t="s">
        <v>194</v>
      </c>
      <c r="H45" s="427" t="s">
        <v>2165</v>
      </c>
      <c r="I45" s="427"/>
      <c r="J45" s="485">
        <v>341.36</v>
      </c>
      <c r="K45" s="427">
        <v>11.360000000000014</v>
      </c>
      <c r="L45" s="486">
        <v>23.8</v>
      </c>
      <c r="M45" s="487">
        <v>25.5</v>
      </c>
      <c r="N45" s="427">
        <v>24.65</v>
      </c>
      <c r="O45" s="427">
        <v>24.65</v>
      </c>
      <c r="P45" s="484"/>
      <c r="Q45" s="489" t="s">
        <v>1935</v>
      </c>
    </row>
    <row r="46" spans="1:17" ht="45">
      <c r="A46" s="483">
        <v>46055</v>
      </c>
      <c r="B46" s="547" t="s">
        <v>2096</v>
      </c>
      <c r="C46" s="558" t="s">
        <v>2115</v>
      </c>
      <c r="D46" s="427" t="s">
        <v>1938</v>
      </c>
      <c r="E46" s="428">
        <v>46101</v>
      </c>
      <c r="F46" s="427" t="s">
        <v>1931</v>
      </c>
      <c r="G46" s="427" t="s">
        <v>194</v>
      </c>
      <c r="H46" s="427" t="s">
        <v>2153</v>
      </c>
      <c r="I46" s="427"/>
      <c r="J46" s="485">
        <v>341.36</v>
      </c>
      <c r="K46" s="427">
        <v>41.360000000000014</v>
      </c>
      <c r="L46" s="486">
        <v>45.55</v>
      </c>
      <c r="M46" s="487">
        <v>47.95</v>
      </c>
      <c r="N46" s="427">
        <v>46.75</v>
      </c>
      <c r="O46" s="427">
        <v>46.75</v>
      </c>
      <c r="P46" s="484"/>
      <c r="Q46" s="489" t="s">
        <v>1935</v>
      </c>
    </row>
    <row r="47" spans="1:17" ht="45">
      <c r="A47" s="483">
        <v>46055</v>
      </c>
      <c r="B47" s="547" t="s">
        <v>2106</v>
      </c>
      <c r="C47" s="558" t="s">
        <v>2116</v>
      </c>
      <c r="D47" s="427" t="s">
        <v>2071</v>
      </c>
      <c r="E47" s="428">
        <v>46129</v>
      </c>
      <c r="F47" s="427" t="s">
        <v>1926</v>
      </c>
      <c r="G47" s="427" t="s">
        <v>194</v>
      </c>
      <c r="H47" s="427" t="s">
        <v>2185</v>
      </c>
      <c r="I47" s="427"/>
      <c r="J47" s="485">
        <v>706.41</v>
      </c>
      <c r="K47" s="427">
        <v>0</v>
      </c>
      <c r="L47" s="486">
        <v>3.75</v>
      </c>
      <c r="M47" s="487">
        <v>3.85</v>
      </c>
      <c r="N47" s="427">
        <v>3.8</v>
      </c>
      <c r="O47" s="427">
        <v>3.8</v>
      </c>
      <c r="P47" s="484"/>
      <c r="Q47" s="489" t="s">
        <v>1935</v>
      </c>
    </row>
    <row r="48" spans="1:17">
      <c r="A48" s="483">
        <v>46055</v>
      </c>
      <c r="B48" s="567" t="s">
        <v>2225</v>
      </c>
      <c r="C48" s="558" t="s">
        <v>2229</v>
      </c>
      <c r="D48" s="427" t="s">
        <v>1938</v>
      </c>
      <c r="E48" s="428">
        <v>46191</v>
      </c>
      <c r="F48" s="427" t="s">
        <v>1931</v>
      </c>
      <c r="G48" s="427" t="s">
        <v>194</v>
      </c>
      <c r="H48" s="427" t="s">
        <v>2230</v>
      </c>
      <c r="I48" s="427"/>
      <c r="J48" s="485">
        <v>341.36</v>
      </c>
      <c r="K48" s="427">
        <v>1.3600000000000136</v>
      </c>
      <c r="L48" s="486">
        <v>34.35</v>
      </c>
      <c r="M48" s="487">
        <v>35.299999999999997</v>
      </c>
      <c r="N48" s="427">
        <v>34.825000000000003</v>
      </c>
      <c r="O48" s="427">
        <v>34.825000000000003</v>
      </c>
      <c r="P48" s="484"/>
      <c r="Q48" s="489" t="s">
        <v>1935</v>
      </c>
    </row>
    <row r="49" spans="1:17">
      <c r="A49" s="483">
        <v>46055</v>
      </c>
      <c r="B49" s="567" t="s">
        <v>2226</v>
      </c>
      <c r="C49" s="558" t="s">
        <v>2231</v>
      </c>
      <c r="D49" s="427" t="s">
        <v>1938</v>
      </c>
      <c r="E49" s="428">
        <v>46191</v>
      </c>
      <c r="F49" s="427" t="s">
        <v>1931</v>
      </c>
      <c r="G49" s="427" t="s">
        <v>194</v>
      </c>
      <c r="H49" s="427" t="s">
        <v>2232</v>
      </c>
      <c r="I49" s="427"/>
      <c r="J49" s="485">
        <v>341.36</v>
      </c>
      <c r="K49" s="427">
        <v>0</v>
      </c>
      <c r="L49" s="486">
        <v>19.350000000000001</v>
      </c>
      <c r="M49" s="487">
        <v>19.899999999999999</v>
      </c>
      <c r="N49" s="427">
        <v>19.625</v>
      </c>
      <c r="O49" s="427">
        <v>19.625</v>
      </c>
      <c r="P49" s="484"/>
      <c r="Q49" s="489" t="s">
        <v>1935</v>
      </c>
    </row>
    <row r="50" spans="1:17">
      <c r="A50" s="483">
        <v>46055</v>
      </c>
      <c r="B50" s="567" t="s">
        <v>2224</v>
      </c>
      <c r="C50" s="558" t="s">
        <v>2233</v>
      </c>
      <c r="D50" s="427" t="s">
        <v>2234</v>
      </c>
      <c r="E50" s="428">
        <v>46073</v>
      </c>
      <c r="F50" s="427" t="s">
        <v>1931</v>
      </c>
      <c r="G50" s="427" t="s">
        <v>194</v>
      </c>
      <c r="H50" s="427" t="s">
        <v>2235</v>
      </c>
      <c r="I50" s="427"/>
      <c r="J50" s="563">
        <v>33.08</v>
      </c>
      <c r="K50" s="427">
        <v>0</v>
      </c>
      <c r="L50" s="564">
        <v>9.3928851992891443E-2</v>
      </c>
      <c r="M50" s="565">
        <v>9.3928851992891443E-2</v>
      </c>
      <c r="N50" s="427">
        <v>9.3928851992891443E-2</v>
      </c>
      <c r="O50" s="427">
        <v>9.565601186566218E-2</v>
      </c>
      <c r="P50" s="484">
        <v>21.232406596137242</v>
      </c>
      <c r="Q50" s="489" t="s">
        <v>1928</v>
      </c>
    </row>
    <row r="51" spans="1:17">
      <c r="A51" s="483">
        <v>46055</v>
      </c>
      <c r="B51" s="567" t="s">
        <v>2260</v>
      </c>
      <c r="C51" s="558" t="s">
        <v>2262</v>
      </c>
      <c r="D51" s="427" t="s">
        <v>2263</v>
      </c>
      <c r="E51" s="428">
        <v>46283</v>
      </c>
      <c r="F51" s="427" t="s">
        <v>1931</v>
      </c>
      <c r="G51" s="427" t="s">
        <v>194</v>
      </c>
      <c r="H51" s="427" t="s">
        <v>2264</v>
      </c>
      <c r="I51" s="427"/>
      <c r="J51" s="485">
        <v>94.19</v>
      </c>
      <c r="K51" s="427">
        <v>0</v>
      </c>
      <c r="L51" s="486">
        <v>7.55</v>
      </c>
      <c r="M51" s="487">
        <v>8.35</v>
      </c>
      <c r="N51" s="427">
        <v>7.9499999999999993</v>
      </c>
      <c r="O51" s="427">
        <v>7.9499999999999993</v>
      </c>
      <c r="P51" s="484"/>
      <c r="Q51" s="489" t="s">
        <v>1935</v>
      </c>
    </row>
    <row r="52" spans="1:17">
      <c r="A52" s="483">
        <v>46055</v>
      </c>
      <c r="B52" s="567" t="s">
        <v>2259</v>
      </c>
      <c r="C52" s="558" t="s">
        <v>2265</v>
      </c>
      <c r="D52" s="427" t="s">
        <v>2263</v>
      </c>
      <c r="E52" s="428">
        <v>46283</v>
      </c>
      <c r="F52" s="427" t="s">
        <v>1931</v>
      </c>
      <c r="G52" s="427" t="s">
        <v>194</v>
      </c>
      <c r="H52" s="427" t="s">
        <v>2266</v>
      </c>
      <c r="I52" s="427"/>
      <c r="J52" s="485">
        <v>94.19</v>
      </c>
      <c r="K52" s="427">
        <v>0</v>
      </c>
      <c r="L52" s="486">
        <v>10</v>
      </c>
      <c r="M52" s="487">
        <v>11</v>
      </c>
      <c r="N52" s="427">
        <v>10.5</v>
      </c>
      <c r="O52" s="427">
        <v>10.5</v>
      </c>
      <c r="P52" s="484"/>
      <c r="Q52" s="489" t="s">
        <v>1935</v>
      </c>
    </row>
    <row r="53" spans="1:17">
      <c r="A53" s="483">
        <v>46055</v>
      </c>
      <c r="B53" s="567" t="s">
        <v>2269</v>
      </c>
      <c r="C53" s="558" t="s">
        <v>2273</v>
      </c>
      <c r="D53" s="427" t="s">
        <v>2274</v>
      </c>
      <c r="E53" s="428">
        <v>46073</v>
      </c>
      <c r="F53" s="427" t="s">
        <v>1931</v>
      </c>
      <c r="G53" s="427" t="s">
        <v>194</v>
      </c>
      <c r="H53" s="427" t="s">
        <v>2275</v>
      </c>
      <c r="I53" s="427"/>
      <c r="J53" s="485">
        <v>665.24</v>
      </c>
      <c r="K53" s="427">
        <v>165.24</v>
      </c>
      <c r="L53" s="486">
        <v>174.3</v>
      </c>
      <c r="M53" s="487">
        <v>177.6</v>
      </c>
      <c r="N53" s="427">
        <v>175.95</v>
      </c>
      <c r="O53" s="427">
        <v>175.95</v>
      </c>
      <c r="P53" s="484"/>
      <c r="Q53" s="489" t="s">
        <v>1935</v>
      </c>
    </row>
    <row r="54" spans="1:17">
      <c r="A54" s="483">
        <v>46055</v>
      </c>
      <c r="B54" s="567" t="s">
        <v>2276</v>
      </c>
      <c r="C54" s="558" t="s">
        <v>2277</v>
      </c>
      <c r="D54" s="427" t="s">
        <v>1936</v>
      </c>
      <c r="E54" s="428">
        <v>46073</v>
      </c>
      <c r="F54" s="427" t="s">
        <v>1931</v>
      </c>
      <c r="G54" s="427" t="s">
        <v>194</v>
      </c>
      <c r="H54" s="427" t="s">
        <v>2235</v>
      </c>
      <c r="I54" s="427"/>
      <c r="J54" s="563">
        <v>37.450000000000003</v>
      </c>
      <c r="K54" s="427">
        <v>2.4500000000000028</v>
      </c>
      <c r="L54" s="564">
        <v>2.7160351353534447</v>
      </c>
      <c r="M54" s="565">
        <v>2.7160351353534447</v>
      </c>
      <c r="N54" s="427">
        <v>2.7160351353534447</v>
      </c>
      <c r="O54" s="427">
        <v>2.7198044378181145</v>
      </c>
      <c r="P54" s="484">
        <v>31.901279469300125</v>
      </c>
      <c r="Q54" s="489" t="s">
        <v>1928</v>
      </c>
    </row>
    <row r="55" spans="1:17">
      <c r="A55" s="483">
        <v>46055</v>
      </c>
      <c r="B55" t="s">
        <v>2270</v>
      </c>
      <c r="C55" s="558" t="s">
        <v>2278</v>
      </c>
      <c r="D55" s="427" t="s">
        <v>2061</v>
      </c>
      <c r="E55" s="428">
        <v>46101</v>
      </c>
      <c r="F55" s="427" t="s">
        <v>1926</v>
      </c>
      <c r="G55" s="427" t="s">
        <v>194</v>
      </c>
      <c r="H55" s="427" t="s">
        <v>2279</v>
      </c>
      <c r="I55" s="427"/>
      <c r="J55" s="485">
        <v>78.66</v>
      </c>
      <c r="K55" s="427">
        <v>0</v>
      </c>
      <c r="L55" s="486">
        <v>2.97</v>
      </c>
      <c r="M55" s="487">
        <v>3.15</v>
      </c>
      <c r="N55" s="427">
        <v>3.06</v>
      </c>
      <c r="O55" s="427">
        <v>3.06</v>
      </c>
      <c r="P55" s="484"/>
      <c r="Q55" s="489" t="s">
        <v>1935</v>
      </c>
    </row>
    <row r="56" spans="1:17">
      <c r="A56" s="483">
        <v>46055</v>
      </c>
      <c r="B56" t="s">
        <v>2281</v>
      </c>
      <c r="C56" s="558" t="s">
        <v>2293</v>
      </c>
      <c r="D56" s="427" t="s">
        <v>2274</v>
      </c>
      <c r="E56" s="428">
        <v>46073</v>
      </c>
      <c r="F56" s="427" t="s">
        <v>1931</v>
      </c>
      <c r="G56" s="427" t="s">
        <v>194</v>
      </c>
      <c r="H56" s="427" t="s">
        <v>2160</v>
      </c>
      <c r="I56" s="427"/>
      <c r="J56" s="485">
        <v>665.24</v>
      </c>
      <c r="K56" s="427">
        <v>115.24000000000001</v>
      </c>
      <c r="L56" s="486">
        <v>133.5</v>
      </c>
      <c r="M56" s="487">
        <v>136.1</v>
      </c>
      <c r="N56" s="427">
        <v>134.80000000000001</v>
      </c>
      <c r="O56" s="427">
        <v>134.80000000000001</v>
      </c>
      <c r="P56" s="484"/>
      <c r="Q56" s="489" t="s">
        <v>1935</v>
      </c>
    </row>
    <row r="57" spans="1:17">
      <c r="A57" s="483">
        <v>46055</v>
      </c>
      <c r="B57" t="s">
        <v>2285</v>
      </c>
      <c r="C57" s="558" t="s">
        <v>2294</v>
      </c>
      <c r="D57" s="427" t="s">
        <v>2071</v>
      </c>
      <c r="E57" s="428">
        <v>46220</v>
      </c>
      <c r="F57" s="427" t="s">
        <v>1931</v>
      </c>
      <c r="G57" s="427" t="s">
        <v>194</v>
      </c>
      <c r="H57" s="427" t="s">
        <v>2295</v>
      </c>
      <c r="I57" s="427"/>
      <c r="J57" s="485">
        <v>706.41</v>
      </c>
      <c r="K57" s="427">
        <v>36.409999999999968</v>
      </c>
      <c r="L57" s="486">
        <v>88</v>
      </c>
      <c r="M57" s="487">
        <v>89.25</v>
      </c>
      <c r="N57" s="427">
        <v>88.625</v>
      </c>
      <c r="O57" s="427">
        <v>88.625</v>
      </c>
      <c r="P57" s="484"/>
      <c r="Q57" s="489" t="s">
        <v>1935</v>
      </c>
    </row>
    <row r="58" spans="1:17">
      <c r="A58" s="483">
        <v>46055</v>
      </c>
      <c r="B58" t="s">
        <v>2284</v>
      </c>
      <c r="C58" s="558" t="s">
        <v>2296</v>
      </c>
      <c r="D58" s="427" t="s">
        <v>2033</v>
      </c>
      <c r="E58" s="428">
        <v>46220</v>
      </c>
      <c r="F58" s="427" t="s">
        <v>1931</v>
      </c>
      <c r="G58" s="427" t="s">
        <v>194</v>
      </c>
      <c r="H58" s="427" t="s">
        <v>2297</v>
      </c>
      <c r="I58" s="427"/>
      <c r="J58" s="485">
        <v>242.96</v>
      </c>
      <c r="K58" s="427">
        <v>0</v>
      </c>
      <c r="L58" s="486">
        <v>23.8</v>
      </c>
      <c r="M58" s="487">
        <v>24.4</v>
      </c>
      <c r="N58" s="427">
        <v>24.1</v>
      </c>
      <c r="O58" s="427">
        <v>24.1</v>
      </c>
      <c r="P58" s="484"/>
      <c r="Q58" s="489" t="s">
        <v>1935</v>
      </c>
    </row>
    <row r="59" spans="1:17">
      <c r="A59" s="483">
        <v>46055</v>
      </c>
      <c r="B59" s="484" t="s">
        <v>2298</v>
      </c>
      <c r="C59" s="558" t="s">
        <v>2299</v>
      </c>
      <c r="D59" s="427" t="s">
        <v>2300</v>
      </c>
      <c r="E59" s="428">
        <v>46366</v>
      </c>
      <c r="F59" s="427" t="s">
        <v>1931</v>
      </c>
      <c r="G59" s="427" t="s">
        <v>2107</v>
      </c>
      <c r="H59" s="427" t="s">
        <v>2301</v>
      </c>
      <c r="I59" s="427"/>
      <c r="J59" s="563">
        <v>725.46</v>
      </c>
      <c r="K59" s="427">
        <v>0</v>
      </c>
      <c r="L59" s="563">
        <v>17.835817378930621</v>
      </c>
      <c r="M59" s="563">
        <v>17.835817378930621</v>
      </c>
      <c r="N59" s="563">
        <v>17.835817378930621</v>
      </c>
      <c r="O59" s="563">
        <v>17.853511065245986</v>
      </c>
      <c r="P59" s="427">
        <v>31.37383557696959</v>
      </c>
      <c r="Q59" s="489" t="s">
        <v>1928</v>
      </c>
    </row>
    <row r="60" spans="1:17">
      <c r="A60" s="483">
        <v>46055</v>
      </c>
      <c r="B60" t="s">
        <v>2282</v>
      </c>
      <c r="C60" s="558" t="s">
        <v>2302</v>
      </c>
      <c r="D60" s="427" t="s">
        <v>2081</v>
      </c>
      <c r="E60" s="428">
        <v>46101</v>
      </c>
      <c r="F60" s="427" t="s">
        <v>1931</v>
      </c>
      <c r="G60" s="427" t="s">
        <v>194</v>
      </c>
      <c r="H60" s="427" t="s">
        <v>2303</v>
      </c>
      <c r="I60" s="427"/>
      <c r="J60" s="485">
        <v>423.42</v>
      </c>
      <c r="K60" s="427">
        <v>3.4200000000000159</v>
      </c>
      <c r="L60" s="486">
        <v>67.5</v>
      </c>
      <c r="M60" s="487">
        <v>70.599999999999994</v>
      </c>
      <c r="N60" s="427">
        <v>69.05</v>
      </c>
      <c r="O60" s="427">
        <v>69.05</v>
      </c>
      <c r="P60" s="484"/>
      <c r="Q60" s="489" t="s">
        <v>1935</v>
      </c>
    </row>
    <row r="61" spans="1:17">
      <c r="A61" s="483">
        <v>46055</v>
      </c>
      <c r="B61" t="s">
        <v>2287</v>
      </c>
      <c r="C61" s="558" t="s">
        <v>2304</v>
      </c>
      <c r="D61" s="427" t="s">
        <v>1937</v>
      </c>
      <c r="E61" s="428">
        <v>46220</v>
      </c>
      <c r="F61" s="427" t="s">
        <v>1931</v>
      </c>
      <c r="G61" s="427" t="s">
        <v>194</v>
      </c>
      <c r="H61" s="427" t="s">
        <v>2168</v>
      </c>
      <c r="I61" s="427"/>
      <c r="J61" s="485">
        <v>423.37</v>
      </c>
      <c r="K61" s="427">
        <v>0</v>
      </c>
      <c r="L61" s="486">
        <v>16.7</v>
      </c>
      <c r="M61" s="487">
        <v>16.899999999999999</v>
      </c>
      <c r="N61" s="427">
        <v>16.799999999999997</v>
      </c>
      <c r="O61" s="427">
        <v>16.799999999999997</v>
      </c>
      <c r="P61" s="484"/>
      <c r="Q61" s="489" t="s">
        <v>1935</v>
      </c>
    </row>
    <row r="62" spans="1:17">
      <c r="A62" s="483">
        <v>46055</v>
      </c>
      <c r="B62" t="s">
        <v>2291</v>
      </c>
      <c r="C62" s="558" t="s">
        <v>2305</v>
      </c>
      <c r="D62" s="427" t="s">
        <v>1951</v>
      </c>
      <c r="E62" s="428">
        <v>46059</v>
      </c>
      <c r="F62" s="427" t="s">
        <v>1931</v>
      </c>
      <c r="G62" s="427" t="s">
        <v>194</v>
      </c>
      <c r="H62" s="427" t="s">
        <v>2306</v>
      </c>
      <c r="I62" s="427"/>
      <c r="J62" s="485">
        <v>626.14</v>
      </c>
      <c r="K62" s="427">
        <v>0</v>
      </c>
      <c r="L62" s="486">
        <v>3.45</v>
      </c>
      <c r="M62" s="487">
        <v>3.5</v>
      </c>
      <c r="N62" s="427">
        <v>3.4750000000000001</v>
      </c>
      <c r="O62" s="427">
        <v>3.4750000000000001</v>
      </c>
      <c r="P62" s="484"/>
      <c r="Q62" s="489" t="s">
        <v>1935</v>
      </c>
    </row>
    <row r="63" spans="1:17">
      <c r="A63" s="483">
        <v>46055</v>
      </c>
      <c r="B63" s="557" t="s">
        <v>2327</v>
      </c>
      <c r="C63" s="558" t="s">
        <v>2328</v>
      </c>
      <c r="D63" s="427" t="s">
        <v>1936</v>
      </c>
      <c r="E63" s="428">
        <v>46073</v>
      </c>
      <c r="F63" s="427" t="s">
        <v>1931</v>
      </c>
      <c r="G63" s="427" t="s">
        <v>194</v>
      </c>
      <c r="H63" s="427" t="s">
        <v>2329</v>
      </c>
      <c r="I63" s="427"/>
      <c r="J63" s="563">
        <v>37.450000000000003</v>
      </c>
      <c r="K63" s="427">
        <v>0.45000000000000284</v>
      </c>
      <c r="L63" s="563">
        <v>1.2433541906618999</v>
      </c>
      <c r="M63" s="563">
        <v>1.2433541906618999</v>
      </c>
      <c r="N63" s="563">
        <v>1.2433541906618999</v>
      </c>
      <c r="O63" s="563">
        <v>1.2486537021325732</v>
      </c>
      <c r="P63" s="427">
        <v>29.64178193917293</v>
      </c>
      <c r="Q63" s="489" t="s">
        <v>1928</v>
      </c>
    </row>
    <row r="64" spans="1:17">
      <c r="A64" s="483">
        <v>46055</v>
      </c>
      <c r="B64" s="557" t="s">
        <v>2324</v>
      </c>
      <c r="C64" s="558" t="s">
        <v>2330</v>
      </c>
      <c r="D64" s="427" t="s">
        <v>2331</v>
      </c>
      <c r="E64" s="428">
        <v>46220</v>
      </c>
      <c r="F64" s="427" t="s">
        <v>1931</v>
      </c>
      <c r="G64" s="427" t="s">
        <v>194</v>
      </c>
      <c r="H64" s="427" t="s">
        <v>2332</v>
      </c>
      <c r="I64" s="427"/>
      <c r="J64" s="485">
        <v>48.81</v>
      </c>
      <c r="K64" s="427">
        <v>0</v>
      </c>
      <c r="L64" s="486">
        <v>7.5</v>
      </c>
      <c r="M64" s="487">
        <v>8.0500000000000007</v>
      </c>
      <c r="N64" s="427">
        <v>7.7750000000000004</v>
      </c>
      <c r="O64" s="427">
        <v>7.7750000000000004</v>
      </c>
      <c r="P64" s="484"/>
      <c r="Q64" s="489" t="s">
        <v>1935</v>
      </c>
    </row>
    <row r="65" spans="1:17">
      <c r="A65" s="483">
        <v>46055</v>
      </c>
      <c r="B65" s="557" t="s">
        <v>2325</v>
      </c>
      <c r="C65" s="558" t="s">
        <v>2333</v>
      </c>
      <c r="D65" s="427" t="s">
        <v>2331</v>
      </c>
      <c r="E65" s="428">
        <v>46220</v>
      </c>
      <c r="F65" s="427" t="s">
        <v>1931</v>
      </c>
      <c r="G65" s="427" t="s">
        <v>194</v>
      </c>
      <c r="H65" s="427" t="s">
        <v>2334</v>
      </c>
      <c r="I65" s="427"/>
      <c r="J65" s="485">
        <v>48.81</v>
      </c>
      <c r="K65" s="427">
        <v>0</v>
      </c>
      <c r="L65" s="486">
        <v>4.5999999999999996</v>
      </c>
      <c r="M65" s="487">
        <v>4.8499999999999996</v>
      </c>
      <c r="N65" s="427">
        <v>4.7249999999999996</v>
      </c>
      <c r="O65" s="427">
        <v>4.7249999999999996</v>
      </c>
      <c r="P65" s="484"/>
      <c r="Q65" s="489" t="s">
        <v>1935</v>
      </c>
    </row>
    <row r="66" spans="1:17">
      <c r="A66" s="483">
        <v>46055</v>
      </c>
      <c r="B66" s="557" t="s">
        <v>2323</v>
      </c>
      <c r="C66" s="558" t="s">
        <v>2335</v>
      </c>
      <c r="D66" s="427" t="s">
        <v>2331</v>
      </c>
      <c r="E66" s="428">
        <v>46220</v>
      </c>
      <c r="F66" s="427" t="s">
        <v>1926</v>
      </c>
      <c r="G66" s="427" t="s">
        <v>194</v>
      </c>
      <c r="H66" s="427" t="s">
        <v>2336</v>
      </c>
      <c r="I66" s="427"/>
      <c r="J66" s="485">
        <v>48.81</v>
      </c>
      <c r="K66" s="427">
        <v>0</v>
      </c>
      <c r="L66" s="486">
        <v>3.05</v>
      </c>
      <c r="M66" s="487">
        <v>3.5</v>
      </c>
      <c r="N66" s="427">
        <v>3.2749999999999999</v>
      </c>
      <c r="O66" s="427">
        <v>3.2749999999999999</v>
      </c>
      <c r="P66" s="484"/>
      <c r="Q66" s="489" t="s">
        <v>1935</v>
      </c>
    </row>
    <row r="67" spans="1:17">
      <c r="A67" s="483">
        <v>46055</v>
      </c>
      <c r="B67" s="557" t="s">
        <v>2326</v>
      </c>
      <c r="C67" s="558" t="s">
        <v>2337</v>
      </c>
      <c r="D67" s="427" t="s">
        <v>1937</v>
      </c>
      <c r="E67" s="428">
        <v>46220</v>
      </c>
      <c r="F67" s="427" t="s">
        <v>1931</v>
      </c>
      <c r="G67" s="427" t="s">
        <v>194</v>
      </c>
      <c r="H67" s="427" t="s">
        <v>2338</v>
      </c>
      <c r="I67" s="427"/>
      <c r="J67" s="485">
        <v>423.37</v>
      </c>
      <c r="K67" s="427">
        <v>0</v>
      </c>
      <c r="L67" s="486">
        <v>13.95</v>
      </c>
      <c r="M67" s="487">
        <v>14.15</v>
      </c>
      <c r="N67" s="427">
        <v>14.05</v>
      </c>
      <c r="O67" s="427">
        <v>14.05</v>
      </c>
      <c r="P67" s="484"/>
      <c r="Q67" s="489" t="s">
        <v>1935</v>
      </c>
    </row>
    <row r="68" spans="1:17">
      <c r="A68" s="483">
        <v>46055</v>
      </c>
      <c r="B68" s="567" t="s">
        <v>2354</v>
      </c>
      <c r="C68" s="558" t="s">
        <v>2368</v>
      </c>
      <c r="D68" s="427" t="s">
        <v>1937</v>
      </c>
      <c r="E68" s="428">
        <v>46220</v>
      </c>
      <c r="F68" s="427" t="s">
        <v>1931</v>
      </c>
      <c r="G68" s="427" t="s">
        <v>194</v>
      </c>
      <c r="H68" s="427" t="s">
        <v>2275</v>
      </c>
      <c r="I68" s="427"/>
      <c r="J68" s="485">
        <v>423.37</v>
      </c>
      <c r="K68" s="427">
        <v>0</v>
      </c>
      <c r="L68" s="486">
        <v>8.8000000000000007</v>
      </c>
      <c r="M68" s="487">
        <v>8.9</v>
      </c>
      <c r="N68" s="427">
        <v>8.8500000000000014</v>
      </c>
      <c r="O68" s="427">
        <v>8.8500000000000014</v>
      </c>
      <c r="P68" s="484"/>
      <c r="Q68" s="489" t="s">
        <v>1935</v>
      </c>
    </row>
    <row r="69" spans="1:17">
      <c r="A69" s="483">
        <v>46055</v>
      </c>
      <c r="B69" s="567" t="s">
        <v>2369</v>
      </c>
      <c r="C69" s="558" t="s">
        <v>2370</v>
      </c>
      <c r="D69" s="427" t="s">
        <v>2371</v>
      </c>
      <c r="E69" s="428">
        <v>46129</v>
      </c>
      <c r="F69" s="427" t="s">
        <v>1931</v>
      </c>
      <c r="G69" s="427" t="s">
        <v>194</v>
      </c>
      <c r="H69" s="427" t="s">
        <v>2372</v>
      </c>
      <c r="I69" s="427"/>
      <c r="J69" s="485">
        <v>59.28</v>
      </c>
      <c r="K69" s="427">
        <v>0</v>
      </c>
      <c r="L69" s="486">
        <v>1.38</v>
      </c>
      <c r="M69" s="487">
        <v>1.46</v>
      </c>
      <c r="N69" s="427">
        <v>1.42</v>
      </c>
      <c r="O69" s="427">
        <v>1.42</v>
      </c>
      <c r="P69" s="484"/>
      <c r="Q69" s="489" t="s">
        <v>1935</v>
      </c>
    </row>
    <row r="70" spans="1:17">
      <c r="A70" s="483">
        <v>46055</v>
      </c>
      <c r="B70" s="567" t="s">
        <v>2373</v>
      </c>
      <c r="C70" s="558" t="s">
        <v>2374</v>
      </c>
      <c r="D70" s="427" t="s">
        <v>2371</v>
      </c>
      <c r="E70" s="428">
        <v>46129</v>
      </c>
      <c r="F70" s="427" t="s">
        <v>1931</v>
      </c>
      <c r="G70" s="427" t="s">
        <v>194</v>
      </c>
      <c r="H70" s="427" t="s">
        <v>2375</v>
      </c>
      <c r="I70" s="427"/>
      <c r="J70" s="485">
        <v>59.28</v>
      </c>
      <c r="K70" s="427">
        <v>0</v>
      </c>
      <c r="L70" s="486">
        <v>0.36</v>
      </c>
      <c r="M70" s="487">
        <v>0.42</v>
      </c>
      <c r="N70" s="427">
        <v>0.39</v>
      </c>
      <c r="O70" s="427">
        <v>0.39</v>
      </c>
      <c r="P70" s="484"/>
      <c r="Q70" s="489" t="s">
        <v>1935</v>
      </c>
    </row>
    <row r="71" spans="1:17">
      <c r="A71" s="483">
        <v>46055</v>
      </c>
      <c r="B71" t="s">
        <v>2376</v>
      </c>
      <c r="C71" s="558" t="s">
        <v>2377</v>
      </c>
      <c r="D71" s="427" t="s">
        <v>2371</v>
      </c>
      <c r="E71" s="428">
        <v>46073</v>
      </c>
      <c r="F71" s="427" t="s">
        <v>1931</v>
      </c>
      <c r="G71" s="427" t="s">
        <v>194</v>
      </c>
      <c r="H71" s="427" t="s">
        <v>2372</v>
      </c>
      <c r="I71" s="427"/>
      <c r="J71" s="485">
        <v>59.28</v>
      </c>
      <c r="K71" s="427">
        <v>0</v>
      </c>
      <c r="L71" s="486">
        <v>0.37</v>
      </c>
      <c r="M71" s="487">
        <v>0.42</v>
      </c>
      <c r="N71" s="427">
        <v>0.39500000000000002</v>
      </c>
      <c r="O71" s="427">
        <v>0.39500000000000002</v>
      </c>
      <c r="P71" s="484"/>
      <c r="Q71" s="489" t="s">
        <v>1935</v>
      </c>
    </row>
    <row r="72" spans="1:17">
      <c r="A72" s="483">
        <v>46055</v>
      </c>
      <c r="B72" t="s">
        <v>2386</v>
      </c>
      <c r="C72" s="558" t="s">
        <v>2405</v>
      </c>
      <c r="D72" s="427" t="s">
        <v>2406</v>
      </c>
      <c r="E72" s="428">
        <v>46059</v>
      </c>
      <c r="F72" s="427" t="s">
        <v>1931</v>
      </c>
      <c r="G72" s="427" t="s">
        <v>194</v>
      </c>
      <c r="H72" s="427" t="s">
        <v>2407</v>
      </c>
      <c r="I72" s="427"/>
      <c r="J72" s="485">
        <v>185.61</v>
      </c>
      <c r="K72" s="427">
        <v>0</v>
      </c>
      <c r="L72" s="486">
        <v>0.34</v>
      </c>
      <c r="M72" s="487">
        <v>0.35</v>
      </c>
      <c r="N72" s="427">
        <v>0.34499999999999997</v>
      </c>
      <c r="O72" s="427">
        <v>0.34499999999999997</v>
      </c>
      <c r="P72" s="484"/>
      <c r="Q72" s="489" t="s">
        <v>1935</v>
      </c>
    </row>
    <row r="73" spans="1:17">
      <c r="A73" s="483">
        <v>46055</v>
      </c>
      <c r="B73" t="s">
        <v>2387</v>
      </c>
      <c r="C73" s="558" t="s">
        <v>2408</v>
      </c>
      <c r="D73" s="427" t="s">
        <v>2406</v>
      </c>
      <c r="E73" s="428">
        <v>46066</v>
      </c>
      <c r="F73" s="427" t="s">
        <v>1931</v>
      </c>
      <c r="G73" s="427" t="s">
        <v>194</v>
      </c>
      <c r="H73" s="427" t="s">
        <v>2409</v>
      </c>
      <c r="I73" s="427"/>
      <c r="J73" s="485">
        <v>185.61</v>
      </c>
      <c r="K73" s="427">
        <v>0</v>
      </c>
      <c r="L73" s="486">
        <v>0.62</v>
      </c>
      <c r="M73" s="487">
        <v>0.63</v>
      </c>
      <c r="N73" s="427">
        <v>0.625</v>
      </c>
      <c r="O73" s="427">
        <v>0.625</v>
      </c>
      <c r="P73" s="484"/>
      <c r="Q73" s="489" t="s">
        <v>1935</v>
      </c>
    </row>
    <row r="74" spans="1:17">
      <c r="A74" s="483">
        <v>46055</v>
      </c>
      <c r="B74" t="s">
        <v>2384</v>
      </c>
      <c r="C74" s="558" t="s">
        <v>2410</v>
      </c>
      <c r="D74" s="427" t="s">
        <v>2406</v>
      </c>
      <c r="E74" s="428">
        <v>46157</v>
      </c>
      <c r="F74" s="427" t="s">
        <v>1931</v>
      </c>
      <c r="G74" s="427" t="s">
        <v>194</v>
      </c>
      <c r="H74" s="427" t="s">
        <v>2164</v>
      </c>
      <c r="I74" s="427"/>
      <c r="J74" s="485">
        <v>185.61</v>
      </c>
      <c r="K74" s="427">
        <v>0</v>
      </c>
      <c r="L74" s="486">
        <v>11.95</v>
      </c>
      <c r="M74" s="487">
        <v>12.05</v>
      </c>
      <c r="N74" s="427">
        <v>12</v>
      </c>
      <c r="O74" s="427">
        <v>12</v>
      </c>
      <c r="P74" s="484"/>
      <c r="Q74" s="489" t="s">
        <v>1935</v>
      </c>
    </row>
    <row r="75" spans="1:17">
      <c r="A75" s="483">
        <v>46055</v>
      </c>
      <c r="B75" t="s">
        <v>2398</v>
      </c>
      <c r="C75" s="558" t="s">
        <v>2411</v>
      </c>
      <c r="D75" s="427" t="s">
        <v>2071</v>
      </c>
      <c r="E75" s="428">
        <v>46220</v>
      </c>
      <c r="F75" s="427" t="s">
        <v>1931</v>
      </c>
      <c r="G75" s="427" t="s">
        <v>194</v>
      </c>
      <c r="H75" s="427" t="s">
        <v>2412</v>
      </c>
      <c r="I75" s="427"/>
      <c r="J75" s="485">
        <v>706.41</v>
      </c>
      <c r="K75" s="427">
        <v>6.4099999999999682</v>
      </c>
      <c r="L75" s="486">
        <v>71.099999999999994</v>
      </c>
      <c r="M75" s="487">
        <v>71.5</v>
      </c>
      <c r="N75" s="427">
        <v>71.3</v>
      </c>
      <c r="O75" s="427">
        <v>71.3</v>
      </c>
      <c r="P75" s="484"/>
      <c r="Q75" s="489" t="s">
        <v>1935</v>
      </c>
    </row>
    <row r="76" spans="1:17">
      <c r="A76" s="483">
        <v>46055</v>
      </c>
      <c r="B76" t="s">
        <v>2445</v>
      </c>
      <c r="C76" s="558" t="s">
        <v>2455</v>
      </c>
      <c r="D76" s="427" t="s">
        <v>2456</v>
      </c>
      <c r="E76" s="428">
        <v>46129</v>
      </c>
      <c r="F76" s="427" t="s">
        <v>1931</v>
      </c>
      <c r="G76" s="427" t="s">
        <v>194</v>
      </c>
      <c r="H76" s="427" t="s">
        <v>2163</v>
      </c>
      <c r="I76" s="427"/>
      <c r="J76" s="485">
        <v>270.01</v>
      </c>
      <c r="K76" s="427">
        <v>10.009999999999991</v>
      </c>
      <c r="L76" s="486">
        <v>17.45</v>
      </c>
      <c r="M76" s="487">
        <v>18.600000000000001</v>
      </c>
      <c r="N76" s="427">
        <v>18.024999999999999</v>
      </c>
      <c r="O76" s="427">
        <v>18.024999999999999</v>
      </c>
      <c r="P76" s="484"/>
      <c r="Q76" s="489" t="s">
        <v>1935</v>
      </c>
    </row>
    <row r="77" spans="1:17">
      <c r="A77" s="483">
        <v>46055</v>
      </c>
      <c r="B77" t="s">
        <v>2446</v>
      </c>
      <c r="C77" s="558" t="s">
        <v>2457</v>
      </c>
      <c r="D77" s="427" t="s">
        <v>2456</v>
      </c>
      <c r="E77" s="428">
        <v>46129</v>
      </c>
      <c r="F77" s="427" t="s">
        <v>1931</v>
      </c>
      <c r="G77" s="427" t="s">
        <v>194</v>
      </c>
      <c r="H77" s="427" t="s">
        <v>2458</v>
      </c>
      <c r="I77" s="427"/>
      <c r="J77" s="485">
        <v>270.01</v>
      </c>
      <c r="K77" s="427">
        <v>0</v>
      </c>
      <c r="L77" s="486">
        <v>6.8</v>
      </c>
      <c r="M77" s="487">
        <v>7.75</v>
      </c>
      <c r="N77" s="427">
        <v>7.2750000000000004</v>
      </c>
      <c r="O77" s="427">
        <v>7.2750000000000004</v>
      </c>
      <c r="P77" s="484"/>
      <c r="Q77" s="489" t="s">
        <v>1935</v>
      </c>
    </row>
    <row r="78" spans="1:17">
      <c r="A78" s="483">
        <v>46055</v>
      </c>
      <c r="B78" t="s">
        <v>2444</v>
      </c>
      <c r="C78" s="558" t="s">
        <v>2459</v>
      </c>
      <c r="D78" s="427" t="s">
        <v>2071</v>
      </c>
      <c r="E78" s="428">
        <v>46220</v>
      </c>
      <c r="F78" s="427" t="s">
        <v>1931</v>
      </c>
      <c r="G78" s="427" t="s">
        <v>194</v>
      </c>
      <c r="H78" s="427" t="s">
        <v>2173</v>
      </c>
      <c r="I78" s="427"/>
      <c r="J78" s="485">
        <v>706.41</v>
      </c>
      <c r="K78" s="427">
        <v>0</v>
      </c>
      <c r="L78" s="486">
        <v>47.95</v>
      </c>
      <c r="M78" s="487">
        <v>48.2</v>
      </c>
      <c r="N78" s="427">
        <v>48.075000000000003</v>
      </c>
      <c r="O78" s="427">
        <v>48.075000000000003</v>
      </c>
      <c r="P78" s="484"/>
      <c r="Q78" s="489" t="s">
        <v>1935</v>
      </c>
    </row>
    <row r="79" spans="1:17">
      <c r="A79" s="483">
        <v>46055</v>
      </c>
      <c r="B79" t="s">
        <v>2472</v>
      </c>
      <c r="C79" s="558" t="s">
        <v>2477</v>
      </c>
      <c r="D79" s="427" t="s">
        <v>1951</v>
      </c>
      <c r="E79" s="428">
        <v>46059</v>
      </c>
      <c r="F79" s="427" t="s">
        <v>1926</v>
      </c>
      <c r="G79" s="427" t="s">
        <v>194</v>
      </c>
      <c r="H79" s="427" t="s">
        <v>2478</v>
      </c>
      <c r="I79" s="427"/>
      <c r="J79" s="485">
        <v>626.14</v>
      </c>
      <c r="K79" s="427">
        <v>0</v>
      </c>
      <c r="L79" s="486">
        <v>1.76</v>
      </c>
      <c r="M79" s="487">
        <v>1.8</v>
      </c>
      <c r="N79" s="427">
        <v>1.78</v>
      </c>
      <c r="O79" s="427">
        <v>1.78</v>
      </c>
      <c r="P79" s="484"/>
      <c r="Q79" s="489" t="s">
        <v>1935</v>
      </c>
    </row>
    <row r="80" spans="1:17">
      <c r="A80" s="483">
        <v>46055</v>
      </c>
      <c r="B80" t="s">
        <v>2471</v>
      </c>
      <c r="C80" s="558" t="s">
        <v>2479</v>
      </c>
      <c r="D80" s="427" t="s">
        <v>1951</v>
      </c>
      <c r="E80" s="428">
        <v>46059</v>
      </c>
      <c r="F80" s="427" t="s">
        <v>1926</v>
      </c>
      <c r="G80" s="427" t="s">
        <v>194</v>
      </c>
      <c r="H80" s="427" t="s">
        <v>2443</v>
      </c>
      <c r="I80" s="427"/>
      <c r="J80" s="485">
        <v>626.14</v>
      </c>
      <c r="K80" s="427">
        <v>0</v>
      </c>
      <c r="L80" s="486">
        <v>2.74</v>
      </c>
      <c r="M80" s="487">
        <v>2.78</v>
      </c>
      <c r="N80" s="427">
        <v>2.76</v>
      </c>
      <c r="O80" s="427">
        <v>2.76</v>
      </c>
      <c r="P80" s="484"/>
      <c r="Q80" s="489" t="s">
        <v>1935</v>
      </c>
    </row>
    <row r="81" spans="1:17">
      <c r="A81" s="483">
        <v>46055</v>
      </c>
      <c r="B81" s="484" t="s">
        <v>2041</v>
      </c>
      <c r="C81" s="558" t="s">
        <v>2041</v>
      </c>
      <c r="D81" s="427" t="s">
        <v>1952</v>
      </c>
      <c r="E81" s="428">
        <v>46073</v>
      </c>
      <c r="F81" s="427" t="s">
        <v>1931</v>
      </c>
      <c r="G81" s="427" t="s">
        <v>194</v>
      </c>
      <c r="H81" s="427" t="s">
        <v>2186</v>
      </c>
      <c r="I81" s="427" t="s">
        <v>1927</v>
      </c>
      <c r="J81" s="485">
        <v>0.05</v>
      </c>
      <c r="K81" s="427">
        <v>0</v>
      </c>
      <c r="L81" s="486">
        <v>0</v>
      </c>
      <c r="M81" s="487">
        <v>0</v>
      </c>
      <c r="N81" s="427">
        <v>0</v>
      </c>
      <c r="O81" s="427">
        <v>2.8059838973850477E-4</v>
      </c>
      <c r="P81" s="484">
        <v>27.717286871832197</v>
      </c>
      <c r="Q81" s="489" t="s">
        <v>1953</v>
      </c>
    </row>
    <row r="82" spans="1:17">
      <c r="A82" s="483">
        <v>46055</v>
      </c>
      <c r="B82" s="484" t="s">
        <v>2042</v>
      </c>
      <c r="C82" s="558" t="s">
        <v>2042</v>
      </c>
      <c r="D82" s="427" t="s">
        <v>1952</v>
      </c>
      <c r="E82" s="428">
        <v>46073</v>
      </c>
      <c r="F82" s="427" t="s">
        <v>1926</v>
      </c>
      <c r="G82" s="427" t="s">
        <v>194</v>
      </c>
      <c r="H82" s="427" t="s">
        <v>2187</v>
      </c>
      <c r="I82" s="427" t="s">
        <v>1927</v>
      </c>
      <c r="J82" s="485">
        <v>0.18</v>
      </c>
      <c r="K82" s="427">
        <v>21.39</v>
      </c>
      <c r="L82" s="486">
        <v>0</v>
      </c>
      <c r="M82" s="487">
        <v>0</v>
      </c>
      <c r="N82" s="427">
        <v>0</v>
      </c>
      <c r="O82" s="427">
        <v>2.4031731066673875E-2</v>
      </c>
      <c r="P82" s="484">
        <v>38.011003846773498</v>
      </c>
      <c r="Q82" s="489" t="s">
        <v>1953</v>
      </c>
    </row>
    <row r="83" spans="1:17">
      <c r="A83" s="483">
        <v>46055</v>
      </c>
      <c r="B83" s="484" t="s">
        <v>2043</v>
      </c>
      <c r="C83" s="558" t="s">
        <v>2043</v>
      </c>
      <c r="D83" s="427" t="s">
        <v>1952</v>
      </c>
      <c r="E83" s="428">
        <v>46073</v>
      </c>
      <c r="F83" s="427" t="s">
        <v>1926</v>
      </c>
      <c r="G83" s="427" t="s">
        <v>194</v>
      </c>
      <c r="H83" s="427" t="s">
        <v>2188</v>
      </c>
      <c r="I83" s="427" t="s">
        <v>1927</v>
      </c>
      <c r="J83" s="485">
        <v>1.36</v>
      </c>
      <c r="K83" s="427">
        <v>22.71</v>
      </c>
      <c r="L83" s="486">
        <v>0</v>
      </c>
      <c r="M83" s="487">
        <v>0</v>
      </c>
      <c r="N83" s="427">
        <v>0</v>
      </c>
      <c r="O83" s="427">
        <v>0.18319846456144506</v>
      </c>
      <c r="P83" s="484">
        <v>32.970621432706402</v>
      </c>
      <c r="Q83" s="489" t="s">
        <v>1953</v>
      </c>
    </row>
    <row r="84" spans="1:17">
      <c r="A84" s="483">
        <v>46055</v>
      </c>
      <c r="B84" s="484" t="s">
        <v>2044</v>
      </c>
      <c r="C84" s="558" t="s">
        <v>2044</v>
      </c>
      <c r="D84" s="427" t="s">
        <v>1952</v>
      </c>
      <c r="E84" s="428">
        <v>46073</v>
      </c>
      <c r="F84" s="427" t="s">
        <v>1931</v>
      </c>
      <c r="G84" s="427" t="s">
        <v>194</v>
      </c>
      <c r="H84" s="427" t="s">
        <v>2189</v>
      </c>
      <c r="I84" s="427" t="s">
        <v>1927</v>
      </c>
      <c r="J84" s="485">
        <v>0.04</v>
      </c>
      <c r="K84" s="427">
        <v>0</v>
      </c>
      <c r="L84" s="486">
        <v>0</v>
      </c>
      <c r="M84" s="487">
        <v>0</v>
      </c>
      <c r="N84" s="427">
        <v>0</v>
      </c>
      <c r="O84" s="427">
        <v>3.7933053164458551E-5</v>
      </c>
      <c r="P84" s="484">
        <v>26.978319531597499</v>
      </c>
      <c r="Q84" s="489" t="s">
        <v>1953</v>
      </c>
    </row>
    <row r="85" spans="1:17">
      <c r="A85" s="483">
        <v>46055</v>
      </c>
      <c r="B85" s="484" t="s">
        <v>2045</v>
      </c>
      <c r="C85" s="558" t="s">
        <v>2045</v>
      </c>
      <c r="D85" s="427" t="s">
        <v>1952</v>
      </c>
      <c r="E85" s="428">
        <v>46073</v>
      </c>
      <c r="F85" s="427" t="s">
        <v>1926</v>
      </c>
      <c r="G85" s="427" t="s">
        <v>194</v>
      </c>
      <c r="H85" s="427" t="s">
        <v>2190</v>
      </c>
      <c r="I85" s="427" t="s">
        <v>1927</v>
      </c>
      <c r="J85" s="485">
        <v>1</v>
      </c>
      <c r="K85" s="427">
        <v>22.82</v>
      </c>
      <c r="L85" s="486">
        <v>0</v>
      </c>
      <c r="M85" s="487">
        <v>0</v>
      </c>
      <c r="N85" s="427">
        <v>0</v>
      </c>
      <c r="O85" s="427">
        <v>0.1559356739966051</v>
      </c>
      <c r="P85" s="484">
        <v>33.4600624153301</v>
      </c>
      <c r="Q85" s="489" t="s">
        <v>1953</v>
      </c>
    </row>
    <row r="86" spans="1:17">
      <c r="A86" s="483">
        <v>46055</v>
      </c>
      <c r="B86" s="484" t="s">
        <v>2046</v>
      </c>
      <c r="C86" s="558" t="s">
        <v>2046</v>
      </c>
      <c r="D86" s="427" t="s">
        <v>1952</v>
      </c>
      <c r="E86" s="428">
        <v>46073</v>
      </c>
      <c r="F86" s="427" t="s">
        <v>1926</v>
      </c>
      <c r="G86" s="427" t="s">
        <v>194</v>
      </c>
      <c r="H86" s="427" t="s">
        <v>2191</v>
      </c>
      <c r="I86" s="427" t="s">
        <v>1927</v>
      </c>
      <c r="J86" s="485">
        <v>2.61</v>
      </c>
      <c r="K86" s="427">
        <v>23.71</v>
      </c>
      <c r="L86" s="486">
        <v>0</v>
      </c>
      <c r="M86" s="487">
        <v>0</v>
      </c>
      <c r="N86" s="427">
        <v>0</v>
      </c>
      <c r="O86" s="427">
        <v>0.53274620996755417</v>
      </c>
      <c r="P86" s="484">
        <v>29.228195034571897</v>
      </c>
      <c r="Q86" s="489" t="s">
        <v>1953</v>
      </c>
    </row>
    <row r="87" spans="1:17">
      <c r="A87" s="483">
        <v>46055</v>
      </c>
      <c r="B87" s="484" t="s">
        <v>2055</v>
      </c>
      <c r="C87" s="558" t="s">
        <v>2055</v>
      </c>
      <c r="D87" s="427" t="s">
        <v>2056</v>
      </c>
      <c r="E87" s="428">
        <v>46073</v>
      </c>
      <c r="F87" s="427" t="s">
        <v>1926</v>
      </c>
      <c r="G87" s="427" t="s">
        <v>194</v>
      </c>
      <c r="H87" s="427" t="s">
        <v>2192</v>
      </c>
      <c r="I87" s="427" t="s">
        <v>1927</v>
      </c>
      <c r="J87" s="485">
        <v>0.16</v>
      </c>
      <c r="K87" s="427">
        <v>18.84</v>
      </c>
      <c r="L87" s="486">
        <v>0</v>
      </c>
      <c r="M87" s="487">
        <v>0</v>
      </c>
      <c r="N87" s="427">
        <v>0</v>
      </c>
      <c r="O87" s="427">
        <v>4.6571673060081385E-2</v>
      </c>
      <c r="P87" s="484">
        <v>54.9981555237162</v>
      </c>
      <c r="Q87" s="489" t="s">
        <v>1953</v>
      </c>
    </row>
    <row r="88" spans="1:17">
      <c r="A88" s="483">
        <v>46055</v>
      </c>
      <c r="B88" s="484" t="s">
        <v>2057</v>
      </c>
      <c r="C88" s="558" t="s">
        <v>2057</v>
      </c>
      <c r="D88" s="427" t="s">
        <v>2056</v>
      </c>
      <c r="E88" s="428">
        <v>46073</v>
      </c>
      <c r="F88" s="427" t="s">
        <v>1926</v>
      </c>
      <c r="G88" s="427" t="s">
        <v>194</v>
      </c>
      <c r="H88" s="427" t="s">
        <v>2193</v>
      </c>
      <c r="I88" s="427" t="s">
        <v>1927</v>
      </c>
      <c r="J88" s="485">
        <v>0.52</v>
      </c>
      <c r="K88" s="427">
        <v>19.98</v>
      </c>
      <c r="L88" s="486">
        <v>0</v>
      </c>
      <c r="M88" s="487">
        <v>0</v>
      </c>
      <c r="N88" s="427">
        <v>0</v>
      </c>
      <c r="O88" s="427">
        <v>0.12349459715179789</v>
      </c>
      <c r="P88" s="484">
        <v>51.797830874424605</v>
      </c>
      <c r="Q88" s="489" t="s">
        <v>1953</v>
      </c>
    </row>
    <row r="89" spans="1:17">
      <c r="A89" s="483">
        <v>46055</v>
      </c>
      <c r="B89" s="484" t="s">
        <v>2076</v>
      </c>
      <c r="C89" s="558" t="s">
        <v>2076</v>
      </c>
      <c r="D89" s="427" t="s">
        <v>1954</v>
      </c>
      <c r="E89" s="428">
        <v>46073</v>
      </c>
      <c r="F89" s="427" t="s">
        <v>1926</v>
      </c>
      <c r="G89" s="427" t="s">
        <v>194</v>
      </c>
      <c r="H89" s="427" t="s">
        <v>2194</v>
      </c>
      <c r="I89" s="427" t="s">
        <v>1927</v>
      </c>
      <c r="J89" s="485">
        <v>0.01</v>
      </c>
      <c r="K89" s="427">
        <v>12.1</v>
      </c>
      <c r="L89" s="486">
        <v>0</v>
      </c>
      <c r="M89" s="487">
        <v>0</v>
      </c>
      <c r="N89" s="427">
        <v>0</v>
      </c>
      <c r="O89" s="427">
        <v>3.6962584264812104E-4</v>
      </c>
      <c r="P89" s="484">
        <v>49.265347058289798</v>
      </c>
      <c r="Q89" s="489" t="s">
        <v>1953</v>
      </c>
    </row>
    <row r="90" spans="1:17">
      <c r="A90" s="483">
        <v>46055</v>
      </c>
      <c r="B90" s="484" t="s">
        <v>2077</v>
      </c>
      <c r="C90" s="558" t="s">
        <v>2077</v>
      </c>
      <c r="D90" s="427" t="s">
        <v>1954</v>
      </c>
      <c r="E90" s="428">
        <v>46073</v>
      </c>
      <c r="F90" s="427" t="s">
        <v>1926</v>
      </c>
      <c r="G90" s="427" t="s">
        <v>194</v>
      </c>
      <c r="H90" s="427" t="s">
        <v>2195</v>
      </c>
      <c r="I90" s="427" t="s">
        <v>1927</v>
      </c>
      <c r="J90" s="485">
        <v>0.02</v>
      </c>
      <c r="K90" s="427">
        <v>13.34</v>
      </c>
      <c r="L90" s="486">
        <v>0</v>
      </c>
      <c r="M90" s="487">
        <v>0</v>
      </c>
      <c r="N90" s="427">
        <v>0</v>
      </c>
      <c r="O90" s="427">
        <v>3.5895361475938338E-3</v>
      </c>
      <c r="P90" s="484">
        <v>44.986148942748699</v>
      </c>
      <c r="Q90" s="489" t="s">
        <v>1953</v>
      </c>
    </row>
    <row r="91" spans="1:17">
      <c r="A91" s="483">
        <v>46055</v>
      </c>
      <c r="B91" s="484" t="s">
        <v>2117</v>
      </c>
      <c r="C91" s="558" t="s">
        <v>2117</v>
      </c>
      <c r="D91" s="427" t="s">
        <v>2118</v>
      </c>
      <c r="E91" s="428">
        <v>46073</v>
      </c>
      <c r="F91" s="427" t="s">
        <v>1931</v>
      </c>
      <c r="G91" s="427" t="s">
        <v>194</v>
      </c>
      <c r="H91" s="427" t="s">
        <v>2196</v>
      </c>
      <c r="I91" s="427" t="s">
        <v>1927</v>
      </c>
      <c r="J91" s="485">
        <v>4.99</v>
      </c>
      <c r="K91" s="427">
        <v>0</v>
      </c>
      <c r="L91" s="486">
        <v>0</v>
      </c>
      <c r="M91" s="487">
        <v>0</v>
      </c>
      <c r="N91" s="427">
        <v>0</v>
      </c>
      <c r="O91" s="427">
        <v>0.92160688561648396</v>
      </c>
      <c r="P91" s="484">
        <v>38.959231199987897</v>
      </c>
      <c r="Q91" s="489" t="s">
        <v>1953</v>
      </c>
    </row>
    <row r="92" spans="1:17">
      <c r="A92" s="483">
        <v>46055</v>
      </c>
      <c r="B92" s="484" t="s">
        <v>2119</v>
      </c>
      <c r="C92" s="558" t="s">
        <v>2119</v>
      </c>
      <c r="D92" s="427" t="s">
        <v>2118</v>
      </c>
      <c r="E92" s="428">
        <v>46073</v>
      </c>
      <c r="F92" s="427" t="s">
        <v>1926</v>
      </c>
      <c r="G92" s="427" t="s">
        <v>194</v>
      </c>
      <c r="H92" s="427" t="s">
        <v>2197</v>
      </c>
      <c r="I92" s="427" t="s">
        <v>1927</v>
      </c>
      <c r="J92" s="485">
        <v>0.1</v>
      </c>
      <c r="K92" s="427">
        <v>47.72</v>
      </c>
      <c r="L92" s="486">
        <v>0</v>
      </c>
      <c r="M92" s="487">
        <v>0</v>
      </c>
      <c r="N92" s="427">
        <v>0</v>
      </c>
      <c r="O92" s="427">
        <v>7.0637818816023492E-3</v>
      </c>
      <c r="P92" s="484">
        <v>54.573407557885801</v>
      </c>
      <c r="Q92" s="489" t="s">
        <v>1953</v>
      </c>
    </row>
    <row r="93" spans="1:17">
      <c r="A93" s="483">
        <v>46055</v>
      </c>
      <c r="B93" s="484" t="s">
        <v>2120</v>
      </c>
      <c r="C93" s="558" t="s">
        <v>2120</v>
      </c>
      <c r="D93" s="427" t="s">
        <v>2118</v>
      </c>
      <c r="E93" s="428">
        <v>46073</v>
      </c>
      <c r="F93" s="427" t="s">
        <v>1926</v>
      </c>
      <c r="G93" s="427" t="s">
        <v>194</v>
      </c>
      <c r="H93" s="427" t="s">
        <v>2198</v>
      </c>
      <c r="I93" s="427" t="s">
        <v>1927</v>
      </c>
      <c r="J93" s="485">
        <v>0.11</v>
      </c>
      <c r="K93" s="427">
        <v>51.71</v>
      </c>
      <c r="L93" s="486">
        <v>0</v>
      </c>
      <c r="M93" s="487">
        <v>0</v>
      </c>
      <c r="N93" s="427">
        <v>0</v>
      </c>
      <c r="O93" s="427">
        <v>1.9057557879064359E-2</v>
      </c>
      <c r="P93" s="484">
        <v>46.543063035073104</v>
      </c>
      <c r="Q93" s="489" t="s">
        <v>1953</v>
      </c>
    </row>
    <row r="94" spans="1:17">
      <c r="A94" s="483">
        <v>46055</v>
      </c>
      <c r="B94" s="484" t="s">
        <v>2126</v>
      </c>
      <c r="C94" s="558" t="s">
        <v>2126</v>
      </c>
      <c r="D94" s="427" t="s">
        <v>2086</v>
      </c>
      <c r="E94" s="428">
        <v>46073</v>
      </c>
      <c r="F94" s="427" t="s">
        <v>1926</v>
      </c>
      <c r="G94" s="427" t="s">
        <v>194</v>
      </c>
      <c r="H94" s="427" t="s">
        <v>2199</v>
      </c>
      <c r="I94" s="427" t="s">
        <v>1927</v>
      </c>
      <c r="J94" s="485">
        <v>0.1</v>
      </c>
      <c r="K94" s="427">
        <v>42.9</v>
      </c>
      <c r="L94" s="486">
        <v>0</v>
      </c>
      <c r="M94" s="487">
        <v>0</v>
      </c>
      <c r="N94" s="427">
        <v>0</v>
      </c>
      <c r="O94" s="427">
        <v>4.358269634081621E-5</v>
      </c>
      <c r="P94" s="484">
        <v>34.667943486044202</v>
      </c>
      <c r="Q94" s="489" t="s">
        <v>1953</v>
      </c>
    </row>
    <row r="95" spans="1:17">
      <c r="A95" s="483">
        <v>46055</v>
      </c>
      <c r="B95" s="484" t="s">
        <v>2127</v>
      </c>
      <c r="C95" s="558" t="s">
        <v>2127</v>
      </c>
      <c r="D95" s="427" t="s">
        <v>2086</v>
      </c>
      <c r="E95" s="428">
        <v>46073</v>
      </c>
      <c r="F95" s="427" t="s">
        <v>1926</v>
      </c>
      <c r="G95" s="427" t="s">
        <v>194</v>
      </c>
      <c r="H95" s="427" t="s">
        <v>2200</v>
      </c>
      <c r="I95" s="427" t="s">
        <v>1927</v>
      </c>
      <c r="J95" s="485">
        <v>7.0000000000000007E-2</v>
      </c>
      <c r="K95" s="427">
        <v>47.93</v>
      </c>
      <c r="L95" s="486">
        <v>0</v>
      </c>
      <c r="M95" s="487">
        <v>0</v>
      </c>
      <c r="N95" s="427">
        <v>0</v>
      </c>
      <c r="O95" s="427">
        <v>3.2877295224436691E-3</v>
      </c>
      <c r="P95" s="484">
        <v>31.927576855003998</v>
      </c>
      <c r="Q95" s="489" t="s">
        <v>1953</v>
      </c>
    </row>
    <row r="96" spans="1:17">
      <c r="A96" s="483">
        <v>46055</v>
      </c>
      <c r="B96" s="557" t="s">
        <v>2132</v>
      </c>
      <c r="C96" s="557" t="s">
        <v>2132</v>
      </c>
      <c r="D96" s="427" t="s">
        <v>2133</v>
      </c>
      <c r="E96" s="428">
        <v>46073</v>
      </c>
      <c r="F96" s="427" t="s">
        <v>1926</v>
      </c>
      <c r="G96" s="427" t="s">
        <v>194</v>
      </c>
      <c r="H96" s="427" t="s">
        <v>2201</v>
      </c>
      <c r="I96" s="427" t="s">
        <v>1927</v>
      </c>
      <c r="J96" s="485">
        <v>2.09</v>
      </c>
      <c r="K96" s="427">
        <v>48.290000000000006</v>
      </c>
      <c r="L96" s="486">
        <v>0</v>
      </c>
      <c r="M96" s="487">
        <v>0</v>
      </c>
      <c r="N96" s="427">
        <v>0</v>
      </c>
      <c r="O96" s="427">
        <v>0.41104083986941059</v>
      </c>
      <c r="P96" s="484">
        <v>32.544948590658201</v>
      </c>
      <c r="Q96" s="489" t="s">
        <v>1953</v>
      </c>
    </row>
    <row r="97" spans="1:17">
      <c r="A97" s="483">
        <v>46055</v>
      </c>
      <c r="B97" s="557" t="s">
        <v>2139</v>
      </c>
      <c r="C97" s="557" t="s">
        <v>2139</v>
      </c>
      <c r="D97" s="427" t="s">
        <v>1954</v>
      </c>
      <c r="E97" s="428">
        <v>46073</v>
      </c>
      <c r="F97" s="427" t="s">
        <v>1926</v>
      </c>
      <c r="G97" s="427" t="s">
        <v>194</v>
      </c>
      <c r="H97" s="427" t="s">
        <v>2202</v>
      </c>
      <c r="I97" s="427" t="s">
        <v>1927</v>
      </c>
      <c r="J97" s="485">
        <v>0.01</v>
      </c>
      <c r="K97" s="427">
        <v>11.41</v>
      </c>
      <c r="L97" s="486">
        <v>0</v>
      </c>
      <c r="M97" s="487">
        <v>0</v>
      </c>
      <c r="N97" s="427">
        <v>0</v>
      </c>
      <c r="O97" s="427">
        <v>3.6962584264812104E-4</v>
      </c>
      <c r="P97" s="484">
        <v>49.265347058289798</v>
      </c>
      <c r="Q97" s="489" t="s">
        <v>1953</v>
      </c>
    </row>
    <row r="98" spans="1:17">
      <c r="A98" s="483">
        <v>46055</v>
      </c>
      <c r="B98" s="557" t="s">
        <v>2140</v>
      </c>
      <c r="C98" s="557" t="s">
        <v>2140</v>
      </c>
      <c r="D98" s="427" t="s">
        <v>1954</v>
      </c>
      <c r="E98" s="428">
        <v>46073</v>
      </c>
      <c r="F98" s="427" t="s">
        <v>1926</v>
      </c>
      <c r="G98" s="427" t="s">
        <v>194</v>
      </c>
      <c r="H98" s="427" t="s">
        <v>2203</v>
      </c>
      <c r="I98" s="427" t="s">
        <v>1927</v>
      </c>
      <c r="J98" s="485">
        <v>0.02</v>
      </c>
      <c r="K98" s="427">
        <v>12.65</v>
      </c>
      <c r="L98" s="486">
        <v>0</v>
      </c>
      <c r="M98" s="487">
        <v>0</v>
      </c>
      <c r="N98" s="427">
        <v>0</v>
      </c>
      <c r="O98" s="427">
        <v>3.5895361475938338E-3</v>
      </c>
      <c r="P98" s="484">
        <v>44.986148942748699</v>
      </c>
      <c r="Q98" s="489" t="s">
        <v>1953</v>
      </c>
    </row>
    <row r="99" spans="1:17">
      <c r="A99" s="483">
        <v>46055</v>
      </c>
      <c r="B99" s="557" t="s">
        <v>2141</v>
      </c>
      <c r="C99" s="557" t="s">
        <v>2141</v>
      </c>
      <c r="D99" s="427" t="s">
        <v>1954</v>
      </c>
      <c r="E99" s="428">
        <v>46073</v>
      </c>
      <c r="F99" s="427" t="s">
        <v>1926</v>
      </c>
      <c r="G99" s="427" t="s">
        <v>194</v>
      </c>
      <c r="H99" s="427" t="s">
        <v>2204</v>
      </c>
      <c r="I99" s="427" t="s">
        <v>1927</v>
      </c>
      <c r="J99" s="485">
        <v>0.06</v>
      </c>
      <c r="K99" s="427">
        <v>13.61</v>
      </c>
      <c r="L99" s="486">
        <v>0</v>
      </c>
      <c r="M99" s="487">
        <v>0</v>
      </c>
      <c r="N99" s="427">
        <v>0</v>
      </c>
      <c r="O99" s="427">
        <v>1.4332988560308844E-2</v>
      </c>
      <c r="P99" s="484">
        <v>39.997243023559001</v>
      </c>
      <c r="Q99" s="489" t="s">
        <v>1953</v>
      </c>
    </row>
    <row r="100" spans="1:17">
      <c r="A100" s="483">
        <v>46055</v>
      </c>
      <c r="B100" s="557" t="s">
        <v>2142</v>
      </c>
      <c r="C100" s="557" t="s">
        <v>2142</v>
      </c>
      <c r="D100" s="427" t="s">
        <v>2143</v>
      </c>
      <c r="E100" s="428">
        <v>46073</v>
      </c>
      <c r="F100" s="427" t="s">
        <v>1926</v>
      </c>
      <c r="G100" s="427" t="s">
        <v>194</v>
      </c>
      <c r="H100" s="427" t="s">
        <v>2205</v>
      </c>
      <c r="I100" s="427" t="s">
        <v>1927</v>
      </c>
      <c r="J100" s="485">
        <v>0.01</v>
      </c>
      <c r="K100" s="427">
        <v>12.03</v>
      </c>
      <c r="L100" s="486">
        <v>0</v>
      </c>
      <c r="M100" s="487">
        <v>0</v>
      </c>
      <c r="N100" s="427">
        <v>0</v>
      </c>
      <c r="O100" s="427">
        <v>1.0758045512974967E-3</v>
      </c>
      <c r="P100" s="484">
        <v>46.646508232979699</v>
      </c>
      <c r="Q100" s="489" t="s">
        <v>1953</v>
      </c>
    </row>
    <row r="101" spans="1:17">
      <c r="A101" s="483">
        <v>46055</v>
      </c>
      <c r="B101" s="557" t="s">
        <v>2144</v>
      </c>
      <c r="C101" s="557" t="s">
        <v>2144</v>
      </c>
      <c r="D101" s="427" t="s">
        <v>2143</v>
      </c>
      <c r="E101" s="428">
        <v>46073</v>
      </c>
      <c r="F101" s="427" t="s">
        <v>1926</v>
      </c>
      <c r="G101" s="427" t="s">
        <v>194</v>
      </c>
      <c r="H101" s="427" t="s">
        <v>2206</v>
      </c>
      <c r="I101" s="427" t="s">
        <v>1927</v>
      </c>
      <c r="J101" s="485">
        <v>7.0000000000000007E-2</v>
      </c>
      <c r="K101" s="427">
        <v>12.969999999999999</v>
      </c>
      <c r="L101" s="486">
        <v>0</v>
      </c>
      <c r="M101" s="487">
        <v>0</v>
      </c>
      <c r="N101" s="427">
        <v>0</v>
      </c>
      <c r="O101" s="427">
        <v>7.6728215430657675E-3</v>
      </c>
      <c r="P101" s="484">
        <v>45.686006252097201</v>
      </c>
      <c r="Q101" s="489" t="s">
        <v>1953</v>
      </c>
    </row>
    <row r="102" spans="1:17">
      <c r="A102" s="483">
        <v>46055</v>
      </c>
      <c r="B102" s="558" t="s">
        <v>2207</v>
      </c>
      <c r="C102" s="558" t="s">
        <v>2207</v>
      </c>
      <c r="D102" s="427" t="s">
        <v>2086</v>
      </c>
      <c r="E102" s="428">
        <v>46073</v>
      </c>
      <c r="F102" s="427" t="s">
        <v>1931</v>
      </c>
      <c r="G102" s="427" t="s">
        <v>194</v>
      </c>
      <c r="H102" s="427" t="s">
        <v>2208</v>
      </c>
      <c r="I102" s="427" t="s">
        <v>1927</v>
      </c>
      <c r="J102" s="485">
        <v>2.36</v>
      </c>
      <c r="K102" s="427">
        <v>0</v>
      </c>
      <c r="L102" s="486">
        <v>0</v>
      </c>
      <c r="M102" s="487">
        <v>0</v>
      </c>
      <c r="N102" s="427">
        <v>0</v>
      </c>
      <c r="O102" s="427">
        <v>0.40764639084716114</v>
      </c>
      <c r="P102" s="484">
        <v>26.913166458341198</v>
      </c>
      <c r="Q102" s="489" t="s">
        <v>1953</v>
      </c>
    </row>
    <row r="103" spans="1:17">
      <c r="A103" s="483">
        <v>46055</v>
      </c>
      <c r="B103" s="558" t="s">
        <v>2209</v>
      </c>
      <c r="C103" s="558" t="s">
        <v>2209</v>
      </c>
      <c r="D103" s="427" t="s">
        <v>2086</v>
      </c>
      <c r="E103" s="428">
        <v>46073</v>
      </c>
      <c r="F103" s="427" t="s">
        <v>1926</v>
      </c>
      <c r="G103" s="427" t="s">
        <v>194</v>
      </c>
      <c r="H103" s="427" t="s">
        <v>2210</v>
      </c>
      <c r="I103" s="427" t="s">
        <v>1927</v>
      </c>
      <c r="J103" s="485">
        <v>0.08</v>
      </c>
      <c r="K103" s="427">
        <v>46.92</v>
      </c>
      <c r="L103" s="486">
        <v>0</v>
      </c>
      <c r="M103" s="487">
        <v>0</v>
      </c>
      <c r="N103" s="427">
        <v>0</v>
      </c>
      <c r="O103" s="427">
        <v>1.5692796932371836E-3</v>
      </c>
      <c r="P103" s="484">
        <v>32.562012264649994</v>
      </c>
      <c r="Q103" s="489" t="s">
        <v>1953</v>
      </c>
    </row>
    <row r="104" spans="1:17">
      <c r="A104" s="483">
        <v>46055</v>
      </c>
      <c r="B104" s="558" t="s">
        <v>2211</v>
      </c>
      <c r="C104" s="558" t="s">
        <v>2211</v>
      </c>
      <c r="D104" s="427" t="s">
        <v>2086</v>
      </c>
      <c r="E104" s="428">
        <v>46073</v>
      </c>
      <c r="F104" s="427" t="s">
        <v>1926</v>
      </c>
      <c r="G104" s="427" t="s">
        <v>194</v>
      </c>
      <c r="H104" s="427" t="s">
        <v>2212</v>
      </c>
      <c r="I104" s="427" t="s">
        <v>1927</v>
      </c>
      <c r="J104" s="485">
        <v>0.22</v>
      </c>
      <c r="K104" s="427">
        <v>50.28</v>
      </c>
      <c r="L104" s="486">
        <v>0</v>
      </c>
      <c r="M104" s="487">
        <v>0</v>
      </c>
      <c r="N104" s="427">
        <v>0</v>
      </c>
      <c r="O104" s="427">
        <v>1.674716246925714E-2</v>
      </c>
      <c r="P104" s="484">
        <v>30.152514267385996</v>
      </c>
      <c r="Q104" s="489" t="s">
        <v>1953</v>
      </c>
    </row>
    <row r="105" spans="1:17">
      <c r="A105" s="483">
        <v>46055</v>
      </c>
      <c r="B105" s="557" t="s">
        <v>2213</v>
      </c>
      <c r="C105" s="557" t="s">
        <v>2213</v>
      </c>
      <c r="D105" s="427" t="s">
        <v>1952</v>
      </c>
      <c r="E105" s="428">
        <v>46101</v>
      </c>
      <c r="F105" s="427" t="s">
        <v>1931</v>
      </c>
      <c r="G105" s="427" t="s">
        <v>194</v>
      </c>
      <c r="H105" s="427" t="s">
        <v>2214</v>
      </c>
      <c r="I105" s="427" t="s">
        <v>1927</v>
      </c>
      <c r="J105" s="485">
        <v>0.82</v>
      </c>
      <c r="K105" s="427">
        <v>0</v>
      </c>
      <c r="L105" s="486">
        <v>0</v>
      </c>
      <c r="M105" s="487">
        <v>0</v>
      </c>
      <c r="N105" s="427">
        <v>0</v>
      </c>
      <c r="O105" s="427">
        <v>5.0909393683001535E-2</v>
      </c>
      <c r="P105" s="484">
        <v>31.197024770751302</v>
      </c>
      <c r="Q105" s="489" t="s">
        <v>1953</v>
      </c>
    </row>
    <row r="106" spans="1:17">
      <c r="A106" s="483">
        <v>46055</v>
      </c>
      <c r="B106" s="557" t="s">
        <v>2215</v>
      </c>
      <c r="C106" s="557" t="s">
        <v>2215</v>
      </c>
      <c r="D106" s="427" t="s">
        <v>1952</v>
      </c>
      <c r="E106" s="428">
        <v>46101</v>
      </c>
      <c r="F106" s="427" t="s">
        <v>1926</v>
      </c>
      <c r="G106" s="427" t="s">
        <v>194</v>
      </c>
      <c r="H106" s="427" t="s">
        <v>2216</v>
      </c>
      <c r="I106" s="427" t="s">
        <v>1927</v>
      </c>
      <c r="J106" s="485">
        <v>0.65</v>
      </c>
      <c r="K106" s="427">
        <v>20.66</v>
      </c>
      <c r="L106" s="486">
        <v>0</v>
      </c>
      <c r="M106" s="487">
        <v>0</v>
      </c>
      <c r="N106" s="427">
        <v>0</v>
      </c>
      <c r="O106" s="427">
        <v>9.3577724217848532E-2</v>
      </c>
      <c r="P106" s="484">
        <v>35.901843765968003</v>
      </c>
      <c r="Q106" s="489" t="s">
        <v>1953</v>
      </c>
    </row>
    <row r="107" spans="1:17">
      <c r="A107" s="483">
        <v>46055</v>
      </c>
      <c r="B107" s="557" t="s">
        <v>2217</v>
      </c>
      <c r="C107" s="557" t="s">
        <v>2217</v>
      </c>
      <c r="D107" s="427" t="s">
        <v>1952</v>
      </c>
      <c r="E107" s="428">
        <v>46101</v>
      </c>
      <c r="F107" s="427" t="s">
        <v>1926</v>
      </c>
      <c r="G107" s="427" t="s">
        <v>194</v>
      </c>
      <c r="H107" s="427" t="s">
        <v>2218</v>
      </c>
      <c r="I107" s="427" t="s">
        <v>1927</v>
      </c>
      <c r="J107" s="485">
        <v>1.5</v>
      </c>
      <c r="K107" s="427">
        <v>21.81</v>
      </c>
      <c r="L107" s="486">
        <v>0</v>
      </c>
      <c r="M107" s="487">
        <v>0</v>
      </c>
      <c r="N107" s="427">
        <v>0</v>
      </c>
      <c r="O107" s="427">
        <v>0.2434948676133242</v>
      </c>
      <c r="P107" s="484">
        <v>33.399710268981195</v>
      </c>
      <c r="Q107" s="489" t="s">
        <v>1953</v>
      </c>
    </row>
    <row r="108" spans="1:17">
      <c r="A108" s="483">
        <v>46055</v>
      </c>
      <c r="B108" s="557" t="s">
        <v>2219</v>
      </c>
      <c r="C108" s="557" t="s">
        <v>2219</v>
      </c>
      <c r="D108" s="427" t="s">
        <v>2220</v>
      </c>
      <c r="E108" s="428">
        <v>46073</v>
      </c>
      <c r="F108" s="427" t="s">
        <v>1931</v>
      </c>
      <c r="G108" s="427" t="s">
        <v>194</v>
      </c>
      <c r="H108" s="427" t="s">
        <v>2221</v>
      </c>
      <c r="I108" s="427" t="s">
        <v>1927</v>
      </c>
      <c r="J108" s="485">
        <v>9.56</v>
      </c>
      <c r="K108" s="427">
        <v>0</v>
      </c>
      <c r="L108" s="486">
        <v>0</v>
      </c>
      <c r="M108" s="487">
        <v>0</v>
      </c>
      <c r="N108" s="427">
        <v>0</v>
      </c>
      <c r="O108" s="427">
        <v>1.8672635431870674</v>
      </c>
      <c r="P108" s="484">
        <v>43.910494317275401</v>
      </c>
      <c r="Q108" s="489" t="s">
        <v>1953</v>
      </c>
    </row>
    <row r="109" spans="1:17">
      <c r="A109" s="483">
        <v>46055</v>
      </c>
      <c r="B109" s="557" t="s">
        <v>2222</v>
      </c>
      <c r="C109" s="557" t="s">
        <v>2222</v>
      </c>
      <c r="D109" s="427" t="s">
        <v>2220</v>
      </c>
      <c r="E109" s="428">
        <v>46073</v>
      </c>
      <c r="F109" s="427" t="s">
        <v>1931</v>
      </c>
      <c r="G109" s="427" t="s">
        <v>194</v>
      </c>
      <c r="H109" s="427" t="s">
        <v>2223</v>
      </c>
      <c r="I109" s="427" t="s">
        <v>1927</v>
      </c>
      <c r="J109" s="485">
        <v>5.4</v>
      </c>
      <c r="K109" s="427">
        <v>0</v>
      </c>
      <c r="L109" s="486">
        <v>0</v>
      </c>
      <c r="M109" s="487">
        <v>0</v>
      </c>
      <c r="N109" s="427">
        <v>0</v>
      </c>
      <c r="O109" s="427">
        <v>1.0395096870242346</v>
      </c>
      <c r="P109" s="484">
        <v>37.220021821260694</v>
      </c>
      <c r="Q109" s="489" t="s">
        <v>1953</v>
      </c>
    </row>
    <row r="110" spans="1:17">
      <c r="A110" s="483">
        <v>46055</v>
      </c>
      <c r="B110" s="488" t="s">
        <v>2236</v>
      </c>
      <c r="C110" s="488" t="s">
        <v>2236</v>
      </c>
      <c r="D110" s="427" t="s">
        <v>1954</v>
      </c>
      <c r="E110" s="428">
        <v>46073</v>
      </c>
      <c r="F110" s="427" t="s">
        <v>1931</v>
      </c>
      <c r="G110" s="427" t="s">
        <v>194</v>
      </c>
      <c r="H110" s="427" t="s">
        <v>2237</v>
      </c>
      <c r="I110" s="427" t="s">
        <v>1927</v>
      </c>
      <c r="J110" s="485">
        <v>0.53</v>
      </c>
      <c r="K110" s="427">
        <v>0</v>
      </c>
      <c r="L110" s="486">
        <v>0</v>
      </c>
      <c r="M110" s="487">
        <v>0</v>
      </c>
      <c r="N110" s="427">
        <v>0</v>
      </c>
      <c r="O110" s="427">
        <v>0.10728019810538295</v>
      </c>
      <c r="P110" s="484">
        <v>34.817553821069495</v>
      </c>
      <c r="Q110" s="489" t="s">
        <v>1953</v>
      </c>
    </row>
    <row r="111" spans="1:17">
      <c r="A111" s="483">
        <v>46055</v>
      </c>
      <c r="B111" s="488" t="s">
        <v>2238</v>
      </c>
      <c r="C111" s="488" t="s">
        <v>2238</v>
      </c>
      <c r="D111" s="427" t="s">
        <v>2015</v>
      </c>
      <c r="E111" s="428">
        <v>46071</v>
      </c>
      <c r="F111" s="427" t="s">
        <v>1926</v>
      </c>
      <c r="G111" s="427" t="s">
        <v>194</v>
      </c>
      <c r="H111" s="427" t="s">
        <v>2239</v>
      </c>
      <c r="I111" s="427" t="s">
        <v>1927</v>
      </c>
      <c r="J111" s="485">
        <v>130</v>
      </c>
      <c r="K111" s="427">
        <v>160870</v>
      </c>
      <c r="L111" s="486">
        <v>0</v>
      </c>
      <c r="M111" s="487">
        <v>0</v>
      </c>
      <c r="N111" s="427">
        <v>0</v>
      </c>
      <c r="O111" s="427">
        <v>3.4642988514022965</v>
      </c>
      <c r="P111" s="484">
        <v>26.640212899601099</v>
      </c>
      <c r="Q111" s="489" t="s">
        <v>1953</v>
      </c>
    </row>
    <row r="112" spans="1:17">
      <c r="A112" s="483">
        <v>46055</v>
      </c>
      <c r="B112" s="488" t="s">
        <v>2240</v>
      </c>
      <c r="C112" s="488" t="s">
        <v>2240</v>
      </c>
      <c r="D112" s="427" t="s">
        <v>2100</v>
      </c>
      <c r="E112" s="428">
        <v>46073</v>
      </c>
      <c r="F112" s="427" t="s">
        <v>1926</v>
      </c>
      <c r="G112" s="427" t="s">
        <v>194</v>
      </c>
      <c r="H112" s="427" t="s">
        <v>2241</v>
      </c>
      <c r="I112" s="427" t="s">
        <v>1927</v>
      </c>
      <c r="J112" s="485">
        <v>0.2</v>
      </c>
      <c r="K112" s="427">
        <v>107.8</v>
      </c>
      <c r="L112" s="486">
        <v>0</v>
      </c>
      <c r="M112" s="487">
        <v>0</v>
      </c>
      <c r="N112" s="427">
        <v>0</v>
      </c>
      <c r="O112" s="427">
        <v>3.6711338172931852E-2</v>
      </c>
      <c r="P112" s="484">
        <v>41.815838635348001</v>
      </c>
      <c r="Q112" s="489" t="s">
        <v>1953</v>
      </c>
    </row>
    <row r="113" spans="1:17">
      <c r="A113" s="483">
        <v>46055</v>
      </c>
      <c r="B113" s="488" t="s">
        <v>2242</v>
      </c>
      <c r="C113" s="488" t="s">
        <v>2242</v>
      </c>
      <c r="D113" s="427" t="s">
        <v>2100</v>
      </c>
      <c r="E113" s="428">
        <v>46073</v>
      </c>
      <c r="F113" s="427" t="s">
        <v>1926</v>
      </c>
      <c r="G113" s="427" t="s">
        <v>194</v>
      </c>
      <c r="H113" s="427" t="s">
        <v>2243</v>
      </c>
      <c r="I113" s="427" t="s">
        <v>1927</v>
      </c>
      <c r="J113" s="485">
        <v>0.4</v>
      </c>
      <c r="K113" s="427">
        <v>112.6</v>
      </c>
      <c r="L113" s="486">
        <v>0</v>
      </c>
      <c r="M113" s="487">
        <v>0</v>
      </c>
      <c r="N113" s="427">
        <v>0</v>
      </c>
      <c r="O113" s="427">
        <v>6.0565940002053849E-2</v>
      </c>
      <c r="P113" s="484">
        <v>35.382395177703302</v>
      </c>
      <c r="Q113" s="489" t="s">
        <v>1953</v>
      </c>
    </row>
    <row r="114" spans="1:17">
      <c r="A114" s="483">
        <v>46055</v>
      </c>
      <c r="B114" s="557" t="s">
        <v>2250</v>
      </c>
      <c r="C114" s="557" t="s">
        <v>2250</v>
      </c>
      <c r="D114" s="427" t="s">
        <v>2100</v>
      </c>
      <c r="E114" s="428">
        <v>46073</v>
      </c>
      <c r="F114" s="427" t="s">
        <v>1926</v>
      </c>
      <c r="G114" s="427" t="s">
        <v>194</v>
      </c>
      <c r="H114" s="427" t="s">
        <v>2251</v>
      </c>
      <c r="I114" s="427" t="s">
        <v>1927</v>
      </c>
      <c r="J114" s="485">
        <v>0.44</v>
      </c>
      <c r="K114" s="427">
        <v>113.56</v>
      </c>
      <c r="L114" s="486">
        <v>0</v>
      </c>
      <c r="M114" s="487">
        <v>0</v>
      </c>
      <c r="N114" s="427">
        <v>0</v>
      </c>
      <c r="O114" s="427">
        <v>6.9676662850436319E-2</v>
      </c>
      <c r="P114" s="484">
        <v>34.362724654648503</v>
      </c>
      <c r="Q114" s="489" t="s">
        <v>1953</v>
      </c>
    </row>
    <row r="115" spans="1:17">
      <c r="A115" s="483">
        <v>46055</v>
      </c>
      <c r="B115" s="557" t="s">
        <v>2252</v>
      </c>
      <c r="C115" s="557" t="s">
        <v>2252</v>
      </c>
      <c r="D115" s="427" t="s">
        <v>2253</v>
      </c>
      <c r="E115" s="428">
        <v>46073</v>
      </c>
      <c r="F115" s="427" t="s">
        <v>1931</v>
      </c>
      <c r="G115" s="427" t="s">
        <v>194</v>
      </c>
      <c r="H115" s="427" t="s">
        <v>2254</v>
      </c>
      <c r="I115" s="427" t="s">
        <v>1927</v>
      </c>
      <c r="J115" s="485">
        <v>0.65</v>
      </c>
      <c r="K115" s="427">
        <v>0</v>
      </c>
      <c r="L115" s="486">
        <v>0</v>
      </c>
      <c r="M115" s="487">
        <v>0</v>
      </c>
      <c r="N115" s="427">
        <v>0</v>
      </c>
      <c r="O115" s="427">
        <v>4.7744028856899823E-2</v>
      </c>
      <c r="P115" s="484">
        <v>29.2751494587752</v>
      </c>
      <c r="Q115" s="489" t="s">
        <v>1953</v>
      </c>
    </row>
    <row r="116" spans="1:17">
      <c r="A116" s="483">
        <v>46055</v>
      </c>
      <c r="B116" s="557" t="s">
        <v>2255</v>
      </c>
      <c r="C116" s="557" t="s">
        <v>2255</v>
      </c>
      <c r="D116" s="427" t="s">
        <v>2253</v>
      </c>
      <c r="E116" s="428">
        <v>46073</v>
      </c>
      <c r="F116" s="427" t="s">
        <v>1926</v>
      </c>
      <c r="G116" s="427" t="s">
        <v>194</v>
      </c>
      <c r="H116" s="427" t="s">
        <v>2256</v>
      </c>
      <c r="I116" s="427" t="s">
        <v>1927</v>
      </c>
      <c r="J116" s="485">
        <v>0.2</v>
      </c>
      <c r="K116" s="427">
        <v>25.69</v>
      </c>
      <c r="L116" s="486">
        <v>0</v>
      </c>
      <c r="M116" s="487">
        <v>0</v>
      </c>
      <c r="N116" s="427">
        <v>0</v>
      </c>
      <c r="O116" s="427">
        <v>1.6846041925807808E-2</v>
      </c>
      <c r="P116" s="484">
        <v>35.919287491525601</v>
      </c>
      <c r="Q116" s="489" t="s">
        <v>1953</v>
      </c>
    </row>
    <row r="117" spans="1:17">
      <c r="A117" s="483">
        <v>46055</v>
      </c>
      <c r="B117" s="557" t="s">
        <v>2257</v>
      </c>
      <c r="C117" s="557" t="s">
        <v>2257</v>
      </c>
      <c r="D117" s="427" t="s">
        <v>2253</v>
      </c>
      <c r="E117" s="428">
        <v>46073</v>
      </c>
      <c r="F117" s="427" t="s">
        <v>1926</v>
      </c>
      <c r="G117" s="427" t="s">
        <v>194</v>
      </c>
      <c r="H117" s="427" t="s">
        <v>2258</v>
      </c>
      <c r="I117" s="427" t="s">
        <v>1927</v>
      </c>
      <c r="J117" s="485">
        <v>0.83</v>
      </c>
      <c r="K117" s="427">
        <v>27.310000000000002</v>
      </c>
      <c r="L117" s="486">
        <v>0</v>
      </c>
      <c r="M117" s="487">
        <v>0</v>
      </c>
      <c r="N117" s="427">
        <v>0</v>
      </c>
      <c r="O117" s="427">
        <v>0.10007199989419899</v>
      </c>
      <c r="P117" s="484">
        <v>32.373070781575095</v>
      </c>
      <c r="Q117" s="489" t="s">
        <v>1953</v>
      </c>
    </row>
    <row r="118" spans="1:17">
      <c r="A118" s="483">
        <v>46055</v>
      </c>
      <c r="B118" s="488" t="s">
        <v>2267</v>
      </c>
      <c r="C118" s="488" t="s">
        <v>2267</v>
      </c>
      <c r="D118" s="427" t="s">
        <v>2015</v>
      </c>
      <c r="E118" s="428">
        <v>46071</v>
      </c>
      <c r="F118" s="427" t="s">
        <v>1926</v>
      </c>
      <c r="G118" s="427" t="s">
        <v>194</v>
      </c>
      <c r="H118" s="427" t="s">
        <v>2280</v>
      </c>
      <c r="I118" s="427" t="s">
        <v>1927</v>
      </c>
      <c r="J118" s="485">
        <v>200</v>
      </c>
      <c r="K118" s="427">
        <v>162800</v>
      </c>
      <c r="L118" s="486">
        <v>0</v>
      </c>
      <c r="M118" s="487">
        <v>0</v>
      </c>
      <c r="N118" s="427">
        <v>0</v>
      </c>
      <c r="O118" s="427">
        <v>6.5181680169235054</v>
      </c>
      <c r="P118" s="484">
        <v>26.390562961420997</v>
      </c>
      <c r="Q118" s="489" t="s">
        <v>1953</v>
      </c>
    </row>
    <row r="119" spans="1:17">
      <c r="A119" s="483">
        <v>46055</v>
      </c>
      <c r="B119" s="557" t="s">
        <v>2307</v>
      </c>
      <c r="C119" s="557" t="s">
        <v>2307</v>
      </c>
      <c r="D119" s="427" t="s">
        <v>2137</v>
      </c>
      <c r="E119" s="428">
        <v>46073</v>
      </c>
      <c r="F119" s="427" t="s">
        <v>1926</v>
      </c>
      <c r="G119" s="427" t="s">
        <v>194</v>
      </c>
      <c r="H119" s="427" t="s">
        <v>2308</v>
      </c>
      <c r="I119" s="427" t="s">
        <v>1927</v>
      </c>
      <c r="J119" s="485">
        <v>0.23</v>
      </c>
      <c r="K119" s="427">
        <v>33.92</v>
      </c>
      <c r="L119" s="486">
        <v>0</v>
      </c>
      <c r="M119" s="487">
        <v>0</v>
      </c>
      <c r="N119" s="427">
        <v>0</v>
      </c>
      <c r="O119" s="427">
        <v>3.6477732424125581E-2</v>
      </c>
      <c r="P119" s="484">
        <v>37.955818823020003</v>
      </c>
      <c r="Q119" s="489" t="s">
        <v>1953</v>
      </c>
    </row>
    <row r="120" spans="1:17">
      <c r="A120" s="483">
        <v>46055</v>
      </c>
      <c r="B120" s="557" t="s">
        <v>2309</v>
      </c>
      <c r="C120" s="557" t="s">
        <v>2309</v>
      </c>
      <c r="D120" s="427" t="s">
        <v>2310</v>
      </c>
      <c r="E120" s="428">
        <v>46073</v>
      </c>
      <c r="F120" s="427" t="s">
        <v>1926</v>
      </c>
      <c r="G120" s="427" t="s">
        <v>194</v>
      </c>
      <c r="H120" s="427" t="s">
        <v>2311</v>
      </c>
      <c r="I120" s="427" t="s">
        <v>1927</v>
      </c>
      <c r="J120" s="485">
        <v>0.08</v>
      </c>
      <c r="K120" s="427">
        <v>43.17</v>
      </c>
      <c r="L120" s="486">
        <v>0</v>
      </c>
      <c r="M120" s="487">
        <v>0</v>
      </c>
      <c r="N120" s="427">
        <v>0</v>
      </c>
      <c r="O120" s="427">
        <v>9.6084547506909458E-3</v>
      </c>
      <c r="P120" s="484">
        <v>41.444298928258398</v>
      </c>
      <c r="Q120" s="489" t="s">
        <v>1953</v>
      </c>
    </row>
    <row r="121" spans="1:17">
      <c r="A121" s="483">
        <v>46055</v>
      </c>
      <c r="B121" s="557" t="s">
        <v>2312</v>
      </c>
      <c r="C121" s="557" t="s">
        <v>2312</v>
      </c>
      <c r="D121" s="427" t="s">
        <v>2310</v>
      </c>
      <c r="E121" s="428">
        <v>46073</v>
      </c>
      <c r="F121" s="427" t="s">
        <v>1926</v>
      </c>
      <c r="G121" s="427" t="s">
        <v>194</v>
      </c>
      <c r="H121" s="427" t="s">
        <v>2313</v>
      </c>
      <c r="I121" s="427" t="s">
        <v>1927</v>
      </c>
      <c r="J121" s="485">
        <v>0.25</v>
      </c>
      <c r="K121" s="427">
        <v>46</v>
      </c>
      <c r="L121" s="486">
        <v>0</v>
      </c>
      <c r="M121" s="487">
        <v>0</v>
      </c>
      <c r="N121" s="427">
        <v>0</v>
      </c>
      <c r="O121" s="427">
        <v>4.2450570082697328E-2</v>
      </c>
      <c r="P121" s="484">
        <v>38.603991381284104</v>
      </c>
      <c r="Q121" s="489" t="s">
        <v>1953</v>
      </c>
    </row>
    <row r="122" spans="1:17">
      <c r="A122" s="483">
        <v>46055</v>
      </c>
      <c r="B122" s="557" t="s">
        <v>2314</v>
      </c>
      <c r="C122" s="557" t="s">
        <v>2314</v>
      </c>
      <c r="D122" s="427" t="s">
        <v>2310</v>
      </c>
      <c r="E122" s="428">
        <v>46101</v>
      </c>
      <c r="F122" s="427" t="s">
        <v>1931</v>
      </c>
      <c r="G122" s="427" t="s">
        <v>194</v>
      </c>
      <c r="H122" s="427" t="s">
        <v>2212</v>
      </c>
      <c r="I122" s="427" t="s">
        <v>1927</v>
      </c>
      <c r="J122" s="485">
        <v>3.25</v>
      </c>
      <c r="K122" s="427">
        <v>0</v>
      </c>
      <c r="L122" s="486">
        <v>0</v>
      </c>
      <c r="M122" s="487">
        <v>0</v>
      </c>
      <c r="N122" s="427">
        <v>0</v>
      </c>
      <c r="O122" s="427">
        <v>0.60528995203743552</v>
      </c>
      <c r="P122" s="484">
        <v>35.102566625063801</v>
      </c>
      <c r="Q122" s="489" t="s">
        <v>1953</v>
      </c>
    </row>
    <row r="123" spans="1:17">
      <c r="A123" s="483">
        <v>46055</v>
      </c>
      <c r="B123" s="557" t="s">
        <v>2315</v>
      </c>
      <c r="C123" s="557" t="s">
        <v>2315</v>
      </c>
      <c r="D123" s="427" t="s">
        <v>2310</v>
      </c>
      <c r="E123" s="428">
        <v>46101</v>
      </c>
      <c r="F123" s="427" t="s">
        <v>1926</v>
      </c>
      <c r="G123" s="427" t="s">
        <v>194</v>
      </c>
      <c r="H123" s="427" t="s">
        <v>2316</v>
      </c>
      <c r="I123" s="427" t="s">
        <v>1927</v>
      </c>
      <c r="J123" s="485">
        <v>0.25</v>
      </c>
      <c r="K123" s="427">
        <v>42.25</v>
      </c>
      <c r="L123" s="486">
        <v>0</v>
      </c>
      <c r="M123" s="487">
        <v>0</v>
      </c>
      <c r="N123" s="427">
        <v>0</v>
      </c>
      <c r="O123" s="427">
        <v>4.2331389297787313E-2</v>
      </c>
      <c r="P123" s="484">
        <v>38.952476690014699</v>
      </c>
      <c r="Q123" s="489" t="s">
        <v>1953</v>
      </c>
    </row>
    <row r="124" spans="1:17">
      <c r="A124" s="483">
        <v>46055</v>
      </c>
      <c r="B124" s="557" t="s">
        <v>2317</v>
      </c>
      <c r="C124" s="557" t="s">
        <v>2317</v>
      </c>
      <c r="D124" s="427" t="s">
        <v>2310</v>
      </c>
      <c r="E124" s="428">
        <v>46101</v>
      </c>
      <c r="F124" s="427" t="s">
        <v>1926</v>
      </c>
      <c r="G124" s="427" t="s">
        <v>194</v>
      </c>
      <c r="H124" s="427" t="s">
        <v>2318</v>
      </c>
      <c r="I124" s="427" t="s">
        <v>1927</v>
      </c>
      <c r="J124" s="485">
        <v>0.8</v>
      </c>
      <c r="K124" s="427">
        <v>45.7</v>
      </c>
      <c r="L124" s="486">
        <v>0</v>
      </c>
      <c r="M124" s="487">
        <v>0</v>
      </c>
      <c r="N124" s="427">
        <v>0</v>
      </c>
      <c r="O124" s="427">
        <v>0.13482434512664174</v>
      </c>
      <c r="P124" s="484">
        <v>36.322039475411202</v>
      </c>
      <c r="Q124" s="489" t="s">
        <v>1953</v>
      </c>
    </row>
    <row r="125" spans="1:17">
      <c r="A125" s="483">
        <v>46055</v>
      </c>
      <c r="B125" s="557" t="s">
        <v>2339</v>
      </c>
      <c r="C125" s="557" t="s">
        <v>2339</v>
      </c>
      <c r="D125" s="427" t="s">
        <v>2340</v>
      </c>
      <c r="E125" s="428">
        <v>46073</v>
      </c>
      <c r="F125" s="427" t="s">
        <v>1926</v>
      </c>
      <c r="G125" s="427" t="s">
        <v>194</v>
      </c>
      <c r="H125" s="427" t="s">
        <v>2341</v>
      </c>
      <c r="I125" s="427" t="s">
        <v>1927</v>
      </c>
      <c r="J125" s="485">
        <v>0.11</v>
      </c>
      <c r="K125" s="427">
        <v>40.83</v>
      </c>
      <c r="L125" s="486">
        <v>0</v>
      </c>
      <c r="M125" s="487">
        <v>0</v>
      </c>
      <c r="N125" s="427">
        <v>0</v>
      </c>
      <c r="O125" s="427">
        <v>1.6759789435341538E-2</v>
      </c>
      <c r="P125" s="484">
        <v>35.791291087623499</v>
      </c>
      <c r="Q125" s="489" t="s">
        <v>1953</v>
      </c>
    </row>
    <row r="126" spans="1:17">
      <c r="A126" s="483">
        <v>46055</v>
      </c>
      <c r="B126" s="557" t="s">
        <v>2342</v>
      </c>
      <c r="C126" s="557" t="s">
        <v>2342</v>
      </c>
      <c r="D126" s="427" t="s">
        <v>2340</v>
      </c>
      <c r="E126" s="428">
        <v>46073</v>
      </c>
      <c r="F126" s="427" t="s">
        <v>1926</v>
      </c>
      <c r="G126" s="427" t="s">
        <v>194</v>
      </c>
      <c r="H126" s="427" t="s">
        <v>2343</v>
      </c>
      <c r="I126" s="427" t="s">
        <v>1927</v>
      </c>
      <c r="J126" s="485">
        <v>0.28000000000000003</v>
      </c>
      <c r="K126" s="427">
        <v>42.6</v>
      </c>
      <c r="L126" s="486">
        <v>0</v>
      </c>
      <c r="M126" s="487">
        <v>0</v>
      </c>
      <c r="N126" s="427">
        <v>0</v>
      </c>
      <c r="O126" s="427">
        <v>4.7466804647690812E-2</v>
      </c>
      <c r="P126" s="484">
        <v>33.131749372447601</v>
      </c>
      <c r="Q126" s="489" t="s">
        <v>1953</v>
      </c>
    </row>
    <row r="127" spans="1:17">
      <c r="A127" s="483">
        <v>46055</v>
      </c>
      <c r="B127" s="488" t="s">
        <v>2347</v>
      </c>
      <c r="C127" s="488" t="s">
        <v>2347</v>
      </c>
      <c r="D127" s="427" t="s">
        <v>2100</v>
      </c>
      <c r="E127" s="428">
        <v>46073</v>
      </c>
      <c r="F127" s="427" t="s">
        <v>1926</v>
      </c>
      <c r="G127" s="427" t="s">
        <v>194</v>
      </c>
      <c r="H127" s="427" t="s">
        <v>2348</v>
      </c>
      <c r="I127" s="427" t="s">
        <v>1927</v>
      </c>
      <c r="J127" s="485">
        <v>1.1299999999999999</v>
      </c>
      <c r="K127" s="427">
        <v>118.87</v>
      </c>
      <c r="L127" s="486">
        <v>0</v>
      </c>
      <c r="M127" s="487">
        <v>0</v>
      </c>
      <c r="N127" s="427">
        <v>0</v>
      </c>
      <c r="O127" s="427">
        <v>0.19831832935116245</v>
      </c>
      <c r="P127" s="484">
        <v>30.169649402246598</v>
      </c>
      <c r="Q127" s="489" t="s">
        <v>1953</v>
      </c>
    </row>
    <row r="128" spans="1:17">
      <c r="A128" s="483">
        <v>46055</v>
      </c>
      <c r="B128" s="488" t="s">
        <v>2349</v>
      </c>
      <c r="C128" s="488" t="s">
        <v>2349</v>
      </c>
      <c r="D128" s="427" t="s">
        <v>2220</v>
      </c>
      <c r="E128" s="428">
        <v>46073</v>
      </c>
      <c r="F128" s="427" t="s">
        <v>1926</v>
      </c>
      <c r="G128" s="427" t="s">
        <v>194</v>
      </c>
      <c r="H128" s="427" t="s">
        <v>2350</v>
      </c>
      <c r="I128" s="427" t="s">
        <v>1927</v>
      </c>
      <c r="J128" s="485">
        <v>0.6</v>
      </c>
      <c r="K128" s="427">
        <v>77.300000000000011</v>
      </c>
      <c r="L128" s="486">
        <v>0</v>
      </c>
      <c r="M128" s="487">
        <v>0</v>
      </c>
      <c r="N128" s="427">
        <v>0</v>
      </c>
      <c r="O128" s="427">
        <v>0.10739840182770839</v>
      </c>
      <c r="P128" s="484">
        <v>40.749664548228999</v>
      </c>
      <c r="Q128" s="489" t="s">
        <v>1953</v>
      </c>
    </row>
    <row r="129" spans="1:17">
      <c r="A129" s="483">
        <v>46055</v>
      </c>
      <c r="B129" s="488" t="s">
        <v>2351</v>
      </c>
      <c r="C129" s="488" t="s">
        <v>2351</v>
      </c>
      <c r="D129" s="427" t="s">
        <v>2220</v>
      </c>
      <c r="E129" s="428">
        <v>46073</v>
      </c>
      <c r="F129" s="427" t="s">
        <v>1926</v>
      </c>
      <c r="G129" s="427" t="s">
        <v>194</v>
      </c>
      <c r="H129" s="427" t="s">
        <v>2352</v>
      </c>
      <c r="I129" s="427" t="s">
        <v>1927</v>
      </c>
      <c r="J129" s="485">
        <v>1.57</v>
      </c>
      <c r="K129" s="427">
        <v>81.330000000000013</v>
      </c>
      <c r="L129" s="486">
        <v>0</v>
      </c>
      <c r="M129" s="487">
        <v>0</v>
      </c>
      <c r="N129" s="427">
        <v>0</v>
      </c>
      <c r="O129" s="427">
        <v>0.29595661501373621</v>
      </c>
      <c r="P129" s="484">
        <v>35.825976793679303</v>
      </c>
      <c r="Q129" s="489" t="s">
        <v>1953</v>
      </c>
    </row>
    <row r="130" spans="1:17">
      <c r="A130" s="483">
        <v>46055</v>
      </c>
      <c r="B130" s="557" t="s">
        <v>2378</v>
      </c>
      <c r="C130" s="557" t="s">
        <v>2378</v>
      </c>
      <c r="D130" s="427" t="s">
        <v>1954</v>
      </c>
      <c r="E130" s="428">
        <v>46073</v>
      </c>
      <c r="F130" s="427" t="s">
        <v>1926</v>
      </c>
      <c r="G130" s="427" t="s">
        <v>194</v>
      </c>
      <c r="H130" s="427" t="s">
        <v>2379</v>
      </c>
      <c r="I130" s="427" t="s">
        <v>1927</v>
      </c>
      <c r="J130" s="485">
        <v>0.27</v>
      </c>
      <c r="K130" s="427">
        <v>14.4</v>
      </c>
      <c r="L130" s="486">
        <v>0</v>
      </c>
      <c r="M130" s="487">
        <v>0</v>
      </c>
      <c r="N130" s="427">
        <v>0</v>
      </c>
      <c r="O130" s="427">
        <v>4.9783422834004089E-2</v>
      </c>
      <c r="P130" s="484">
        <v>35.276067861499101</v>
      </c>
      <c r="Q130" s="489" t="s">
        <v>1953</v>
      </c>
    </row>
    <row r="131" spans="1:17">
      <c r="A131" s="483">
        <v>46055</v>
      </c>
      <c r="B131" s="557" t="s">
        <v>2380</v>
      </c>
      <c r="C131" s="557" t="s">
        <v>2380</v>
      </c>
      <c r="D131" s="427" t="s">
        <v>2381</v>
      </c>
      <c r="E131" s="428">
        <v>46101</v>
      </c>
      <c r="F131" s="427" t="s">
        <v>1926</v>
      </c>
      <c r="G131" s="427" t="s">
        <v>194</v>
      </c>
      <c r="H131" s="427" t="s">
        <v>2216</v>
      </c>
      <c r="I131" s="427" t="s">
        <v>1927</v>
      </c>
      <c r="J131" s="485">
        <v>0.45</v>
      </c>
      <c r="K131" s="427">
        <v>20.86</v>
      </c>
      <c r="L131" s="486">
        <v>0</v>
      </c>
      <c r="M131" s="487">
        <v>0</v>
      </c>
      <c r="N131" s="427">
        <v>0</v>
      </c>
      <c r="O131" s="427">
        <v>8.355091518600527E-2</v>
      </c>
      <c r="P131" s="484">
        <v>34.536806065489699</v>
      </c>
      <c r="Q131" s="489" t="s">
        <v>1953</v>
      </c>
    </row>
    <row r="132" spans="1:17">
      <c r="A132" s="483">
        <v>46055</v>
      </c>
      <c r="B132" s="557" t="s">
        <v>2382</v>
      </c>
      <c r="C132" s="557" t="s">
        <v>2382</v>
      </c>
      <c r="D132" s="427" t="s">
        <v>2381</v>
      </c>
      <c r="E132" s="428">
        <v>46101</v>
      </c>
      <c r="F132" s="427" t="s">
        <v>1926</v>
      </c>
      <c r="G132" s="427" t="s">
        <v>194</v>
      </c>
      <c r="H132" s="427" t="s">
        <v>2383</v>
      </c>
      <c r="I132" s="427" t="s">
        <v>1927</v>
      </c>
      <c r="J132" s="485">
        <v>1.01</v>
      </c>
      <c r="K132" s="427">
        <v>21.799999999999997</v>
      </c>
      <c r="L132" s="486">
        <v>0</v>
      </c>
      <c r="M132" s="487">
        <v>0</v>
      </c>
      <c r="N132" s="427">
        <v>0</v>
      </c>
      <c r="O132" s="427">
        <v>0.18628144476387168</v>
      </c>
      <c r="P132" s="484">
        <v>33.315258011939498</v>
      </c>
      <c r="Q132" s="489" t="s">
        <v>1953</v>
      </c>
    </row>
    <row r="133" spans="1:17">
      <c r="A133" s="483">
        <v>46055</v>
      </c>
      <c r="B133" s="557" t="s">
        <v>2413</v>
      </c>
      <c r="C133" s="557" t="s">
        <v>2413</v>
      </c>
      <c r="D133" s="427" t="s">
        <v>2414</v>
      </c>
      <c r="E133" s="428">
        <v>46073</v>
      </c>
      <c r="F133" s="427" t="s">
        <v>1926</v>
      </c>
      <c r="G133" s="427" t="s">
        <v>194</v>
      </c>
      <c r="H133" s="427" t="s">
        <v>2415</v>
      </c>
      <c r="I133" s="427" t="s">
        <v>1927</v>
      </c>
      <c r="J133" s="485">
        <v>0.12</v>
      </c>
      <c r="K133" s="427">
        <v>12.360000000000001</v>
      </c>
      <c r="L133" s="486">
        <v>0</v>
      </c>
      <c r="M133" s="487">
        <v>0</v>
      </c>
      <c r="N133" s="427">
        <v>0</v>
      </c>
      <c r="O133" s="427">
        <v>7.3792394120915043E-3</v>
      </c>
      <c r="P133" s="484">
        <v>23.982782485415502</v>
      </c>
      <c r="Q133" s="489" t="s">
        <v>1953</v>
      </c>
    </row>
    <row r="134" spans="1:17">
      <c r="A134" s="483">
        <v>46055</v>
      </c>
      <c r="B134" s="557" t="s">
        <v>2416</v>
      </c>
      <c r="C134" s="557" t="s">
        <v>2416</v>
      </c>
      <c r="D134" s="427" t="s">
        <v>2414</v>
      </c>
      <c r="E134" s="428">
        <v>46073</v>
      </c>
      <c r="F134" s="427" t="s">
        <v>1926</v>
      </c>
      <c r="G134" s="427" t="s">
        <v>194</v>
      </c>
      <c r="H134" s="427" t="s">
        <v>2417</v>
      </c>
      <c r="I134" s="427" t="s">
        <v>1927</v>
      </c>
      <c r="J134" s="485">
        <v>0.35</v>
      </c>
      <c r="K134" s="427">
        <v>12.88</v>
      </c>
      <c r="L134" s="486">
        <v>0</v>
      </c>
      <c r="M134" s="487">
        <v>0</v>
      </c>
      <c r="N134" s="427">
        <v>0</v>
      </c>
      <c r="O134" s="427">
        <v>4.2191204135902161E-2</v>
      </c>
      <c r="P134" s="484">
        <v>21.360754266007099</v>
      </c>
      <c r="Q134" s="489" t="s">
        <v>1953</v>
      </c>
    </row>
    <row r="135" spans="1:17">
      <c r="A135" s="483">
        <v>46055</v>
      </c>
      <c r="B135" s="557" t="s">
        <v>2418</v>
      </c>
      <c r="C135" s="557" t="s">
        <v>2418</v>
      </c>
      <c r="D135" s="427" t="s">
        <v>2419</v>
      </c>
      <c r="E135" s="428">
        <v>46101</v>
      </c>
      <c r="F135" s="427" t="s">
        <v>1931</v>
      </c>
      <c r="G135" s="427" t="s">
        <v>194</v>
      </c>
      <c r="H135" s="427" t="s">
        <v>2420</v>
      </c>
      <c r="I135" s="427" t="s">
        <v>1927</v>
      </c>
      <c r="J135" s="485">
        <v>0.9</v>
      </c>
      <c r="K135" s="427">
        <v>0</v>
      </c>
      <c r="L135" s="486">
        <v>0</v>
      </c>
      <c r="M135" s="487">
        <v>0</v>
      </c>
      <c r="N135" s="427">
        <v>0</v>
      </c>
      <c r="O135" s="427">
        <v>9.3805165048890179E-2</v>
      </c>
      <c r="P135" s="484">
        <v>20.6185788188068</v>
      </c>
      <c r="Q135" s="489" t="s">
        <v>1953</v>
      </c>
    </row>
    <row r="136" spans="1:17">
      <c r="A136" s="483">
        <v>46055</v>
      </c>
      <c r="B136" s="557" t="s">
        <v>2421</v>
      </c>
      <c r="C136" s="557" t="s">
        <v>2421</v>
      </c>
      <c r="D136" s="427" t="s">
        <v>2422</v>
      </c>
      <c r="E136" s="428">
        <v>46101</v>
      </c>
      <c r="F136" s="427" t="s">
        <v>1931</v>
      </c>
      <c r="G136" s="427" t="s">
        <v>194</v>
      </c>
      <c r="H136" s="427" t="s">
        <v>2423</v>
      </c>
      <c r="I136" s="427" t="s">
        <v>1927</v>
      </c>
      <c r="J136" s="485">
        <v>0.79</v>
      </c>
      <c r="K136" s="427">
        <v>0</v>
      </c>
      <c r="L136" s="486">
        <v>0</v>
      </c>
      <c r="M136" s="487">
        <v>0</v>
      </c>
      <c r="N136" s="427">
        <v>0</v>
      </c>
      <c r="O136" s="427">
        <v>0.16088078318751961</v>
      </c>
      <c r="P136" s="484">
        <v>39.068501381726897</v>
      </c>
      <c r="Q136" s="489" t="s">
        <v>1953</v>
      </c>
    </row>
    <row r="137" spans="1:17">
      <c r="A137" s="483">
        <v>46055</v>
      </c>
      <c r="B137" s="557" t="s">
        <v>2424</v>
      </c>
      <c r="C137" s="557" t="s">
        <v>2424</v>
      </c>
      <c r="D137" s="427" t="s">
        <v>2422</v>
      </c>
      <c r="E137" s="428">
        <v>46101</v>
      </c>
      <c r="F137" s="427" t="s">
        <v>1926</v>
      </c>
      <c r="G137" s="427" t="s">
        <v>194</v>
      </c>
      <c r="H137" s="427" t="s">
        <v>2425</v>
      </c>
      <c r="I137" s="427" t="s">
        <v>1927</v>
      </c>
      <c r="J137" s="485">
        <v>0.37</v>
      </c>
      <c r="K137" s="427">
        <v>22.02</v>
      </c>
      <c r="L137" s="486">
        <v>0</v>
      </c>
      <c r="M137" s="487">
        <v>0</v>
      </c>
      <c r="N137" s="427">
        <v>0</v>
      </c>
      <c r="O137" s="427">
        <v>7.6370385982140201E-2</v>
      </c>
      <c r="P137" s="484">
        <v>44.2344689513926</v>
      </c>
      <c r="Q137" s="489" t="s">
        <v>1953</v>
      </c>
    </row>
    <row r="138" spans="1:17">
      <c r="A138" s="483">
        <v>46055</v>
      </c>
      <c r="B138" s="557" t="s">
        <v>2426</v>
      </c>
      <c r="C138" s="557" t="s">
        <v>2426</v>
      </c>
      <c r="D138" s="427" t="s">
        <v>2422</v>
      </c>
      <c r="E138" s="428">
        <v>46101</v>
      </c>
      <c r="F138" s="427" t="s">
        <v>1926</v>
      </c>
      <c r="G138" s="427" t="s">
        <v>194</v>
      </c>
      <c r="H138" s="427" t="s">
        <v>2427</v>
      </c>
      <c r="I138" s="427" t="s">
        <v>1927</v>
      </c>
      <c r="J138" s="485">
        <v>1.1200000000000001</v>
      </c>
      <c r="K138" s="427">
        <v>23.72</v>
      </c>
      <c r="L138" s="486">
        <v>0</v>
      </c>
      <c r="M138" s="487">
        <v>0</v>
      </c>
      <c r="N138" s="427">
        <v>0</v>
      </c>
      <c r="O138" s="427">
        <v>0.20975493613246488</v>
      </c>
      <c r="P138" s="484">
        <v>41.434505605217602</v>
      </c>
      <c r="Q138" s="489" t="s">
        <v>1953</v>
      </c>
    </row>
    <row r="139" spans="1:17">
      <c r="A139" s="483">
        <v>46055</v>
      </c>
      <c r="B139" s="557" t="s">
        <v>2428</v>
      </c>
      <c r="C139" s="557" t="s">
        <v>2428</v>
      </c>
      <c r="D139" s="427" t="s">
        <v>2429</v>
      </c>
      <c r="E139" s="428">
        <v>46073</v>
      </c>
      <c r="F139" s="427" t="s">
        <v>1931</v>
      </c>
      <c r="G139" s="427" t="s">
        <v>194</v>
      </c>
      <c r="H139" s="427" t="s">
        <v>2430</v>
      </c>
      <c r="I139" s="427" t="s">
        <v>1927</v>
      </c>
      <c r="J139" s="485">
        <v>0.14000000000000001</v>
      </c>
      <c r="K139" s="427">
        <v>0</v>
      </c>
      <c r="L139" s="486">
        <v>0</v>
      </c>
      <c r="M139" s="487">
        <v>0</v>
      </c>
      <c r="N139" s="427">
        <v>0</v>
      </c>
      <c r="O139" s="427">
        <v>2.8059085097820773E-2</v>
      </c>
      <c r="P139" s="484">
        <v>58.382726080535605</v>
      </c>
      <c r="Q139" s="489" t="s">
        <v>1953</v>
      </c>
    </row>
    <row r="140" spans="1:17">
      <c r="A140" s="483">
        <v>46055</v>
      </c>
      <c r="B140" s="557" t="s">
        <v>2431</v>
      </c>
      <c r="C140" s="557" t="s">
        <v>2431</v>
      </c>
      <c r="D140" s="427" t="s">
        <v>2429</v>
      </c>
      <c r="E140" s="428">
        <v>46073</v>
      </c>
      <c r="F140" s="427" t="s">
        <v>1931</v>
      </c>
      <c r="G140" s="427" t="s">
        <v>194</v>
      </c>
      <c r="H140" s="427" t="s">
        <v>2432</v>
      </c>
      <c r="I140" s="427" t="s">
        <v>1927</v>
      </c>
      <c r="J140" s="485">
        <v>0.02</v>
      </c>
      <c r="K140" s="427">
        <v>0</v>
      </c>
      <c r="L140" s="486">
        <v>0</v>
      </c>
      <c r="M140" s="487">
        <v>0</v>
      </c>
      <c r="N140" s="427">
        <v>0</v>
      </c>
      <c r="O140" s="427">
        <v>7.7769571879062896E-3</v>
      </c>
      <c r="P140" s="484">
        <v>62.6971553402864</v>
      </c>
      <c r="Q140" s="489" t="s">
        <v>1953</v>
      </c>
    </row>
    <row r="141" spans="1:17">
      <c r="A141" s="483">
        <v>46055</v>
      </c>
      <c r="B141" s="488" t="s">
        <v>2460</v>
      </c>
      <c r="C141" s="488" t="s">
        <v>2460</v>
      </c>
      <c r="D141" s="427" t="s">
        <v>2461</v>
      </c>
      <c r="E141" s="428">
        <v>46073</v>
      </c>
      <c r="F141" s="427" t="s">
        <v>1931</v>
      </c>
      <c r="G141" s="427" t="s">
        <v>194</v>
      </c>
      <c r="H141" s="427" t="s">
        <v>2462</v>
      </c>
      <c r="I141" s="427" t="s">
        <v>1927</v>
      </c>
      <c r="J141" s="485">
        <v>0.17</v>
      </c>
      <c r="K141" s="427">
        <v>0</v>
      </c>
      <c r="L141" s="486">
        <v>0</v>
      </c>
      <c r="M141" s="487">
        <v>0</v>
      </c>
      <c r="N141" s="427">
        <v>0</v>
      </c>
      <c r="O141" s="427">
        <v>3.1363634439212092E-2</v>
      </c>
      <c r="P141" s="484">
        <v>39.178887295981404</v>
      </c>
      <c r="Q141" s="489" t="s">
        <v>1953</v>
      </c>
    </row>
    <row r="142" spans="1:17">
      <c r="A142" s="483">
        <v>46055</v>
      </c>
      <c r="B142" s="488" t="s">
        <v>2463</v>
      </c>
      <c r="C142" s="488" t="s">
        <v>2463</v>
      </c>
      <c r="D142" s="427" t="s">
        <v>2464</v>
      </c>
      <c r="E142" s="428">
        <v>46073</v>
      </c>
      <c r="F142" s="427" t="s">
        <v>1931</v>
      </c>
      <c r="G142" s="427" t="s">
        <v>194</v>
      </c>
      <c r="H142" s="427" t="s">
        <v>2465</v>
      </c>
      <c r="I142" s="427" t="s">
        <v>1927</v>
      </c>
      <c r="J142" s="485">
        <v>0.15</v>
      </c>
      <c r="K142" s="427">
        <v>0</v>
      </c>
      <c r="L142" s="486">
        <v>0</v>
      </c>
      <c r="M142" s="487">
        <v>0</v>
      </c>
      <c r="N142" s="427">
        <v>0</v>
      </c>
      <c r="O142" s="427">
        <v>4.0604808197734982E-3</v>
      </c>
      <c r="P142" s="484">
        <v>16.381549519009599</v>
      </c>
      <c r="Q142" s="489" t="s">
        <v>1953</v>
      </c>
    </row>
    <row r="143" spans="1:17">
      <c r="A143" s="483">
        <v>46055</v>
      </c>
      <c r="B143" s="557" t="s">
        <v>2480</v>
      </c>
      <c r="C143" s="557" t="s">
        <v>2480</v>
      </c>
      <c r="D143" s="427" t="s">
        <v>2310</v>
      </c>
      <c r="E143" s="428">
        <v>46129</v>
      </c>
      <c r="F143" s="427" t="s">
        <v>1926</v>
      </c>
      <c r="G143" s="427" t="s">
        <v>194</v>
      </c>
      <c r="H143" s="427" t="s">
        <v>2481</v>
      </c>
      <c r="I143" s="427" t="s">
        <v>1927</v>
      </c>
      <c r="J143" s="485">
        <v>0.8</v>
      </c>
      <c r="K143" s="427">
        <v>44.7</v>
      </c>
      <c r="L143" s="486">
        <v>0</v>
      </c>
      <c r="M143" s="487">
        <v>0</v>
      </c>
      <c r="N143" s="427">
        <v>0</v>
      </c>
      <c r="O143" s="427">
        <v>0.18097021527183835</v>
      </c>
      <c r="P143" s="484">
        <v>38.110603145353203</v>
      </c>
      <c r="Q143" s="489" t="s">
        <v>1953</v>
      </c>
    </row>
    <row r="144" spans="1:17">
      <c r="A144" s="483">
        <v>46055</v>
      </c>
      <c r="B144" s="557" t="s">
        <v>2482</v>
      </c>
      <c r="C144" s="557" t="s">
        <v>2482</v>
      </c>
      <c r="D144" s="427" t="s">
        <v>2310</v>
      </c>
      <c r="E144" s="428">
        <v>46129</v>
      </c>
      <c r="F144" s="427" t="s">
        <v>1926</v>
      </c>
      <c r="G144" s="427" t="s">
        <v>194</v>
      </c>
      <c r="H144" s="427" t="s">
        <v>2483</v>
      </c>
      <c r="I144" s="427" t="s">
        <v>1927</v>
      </c>
      <c r="J144" s="485">
        <v>1.93</v>
      </c>
      <c r="K144" s="427">
        <v>47.57</v>
      </c>
      <c r="L144" s="486">
        <v>0</v>
      </c>
      <c r="M144" s="487">
        <v>0</v>
      </c>
      <c r="N144" s="427">
        <v>0</v>
      </c>
      <c r="O144" s="427">
        <v>0.38589397779695545</v>
      </c>
      <c r="P144" s="484">
        <v>36.228559331748997</v>
      </c>
      <c r="Q144" s="489" t="s">
        <v>1953</v>
      </c>
    </row>
    <row r="145" spans="1:17">
      <c r="A145" s="483">
        <v>46052</v>
      </c>
      <c r="B145" s="488" t="s">
        <v>2460</v>
      </c>
      <c r="C145" s="488" t="s">
        <v>2460</v>
      </c>
      <c r="D145" s="427" t="s">
        <v>2461</v>
      </c>
      <c r="E145" s="428">
        <v>46073</v>
      </c>
      <c r="F145" s="427" t="s">
        <v>1931</v>
      </c>
      <c r="G145" s="427" t="s">
        <v>194</v>
      </c>
      <c r="H145" s="427" t="s">
        <v>2462</v>
      </c>
      <c r="I145" s="427" t="s">
        <v>1927</v>
      </c>
      <c r="J145" s="485">
        <v>0.15</v>
      </c>
      <c r="K145" s="427">
        <v>0</v>
      </c>
      <c r="L145" s="486">
        <v>0</v>
      </c>
      <c r="M145" s="487">
        <v>0</v>
      </c>
      <c r="N145" s="427">
        <v>0</v>
      </c>
      <c r="O145" s="427">
        <v>3.07537304274507E-2</v>
      </c>
      <c r="P145" s="484">
        <v>41.115771540878001</v>
      </c>
      <c r="Q145" s="489" t="s">
        <v>1953</v>
      </c>
    </row>
    <row r="146" spans="1:17">
      <c r="A146" s="483">
        <v>46052</v>
      </c>
      <c r="B146" s="488" t="s">
        <v>2463</v>
      </c>
      <c r="C146" s="488" t="s">
        <v>2463</v>
      </c>
      <c r="D146" s="427" t="s">
        <v>2464</v>
      </c>
      <c r="E146" s="428">
        <v>46073</v>
      </c>
      <c r="F146" s="427" t="s">
        <v>1931</v>
      </c>
      <c r="G146" s="427" t="s">
        <v>194</v>
      </c>
      <c r="H146" s="427" t="s">
        <v>2465</v>
      </c>
      <c r="I146" s="427" t="s">
        <v>1927</v>
      </c>
      <c r="J146" s="485">
        <v>0.14000000000000001</v>
      </c>
      <c r="K146" s="427">
        <v>0</v>
      </c>
      <c r="L146" s="486">
        <v>0</v>
      </c>
      <c r="M146" s="487">
        <v>0</v>
      </c>
      <c r="N146" s="427">
        <v>0</v>
      </c>
      <c r="O146" s="427">
        <v>1.6495456500516599E-3</v>
      </c>
      <c r="P146" s="484">
        <v>15.806131086012899</v>
      </c>
      <c r="Q146" s="489" t="s">
        <v>1953</v>
      </c>
    </row>
  </sheetData>
  <conditionalFormatting sqref="T2:T3">
    <cfRule type="cellIs" dxfId="42" priority="41" operator="equal">
      <formula>0</formula>
    </cfRule>
  </conditionalFormatting>
  <conditionalFormatting sqref="W2:W3">
    <cfRule type="cellIs" dxfId="41" priority="40" operator="equal">
      <formula>0</formula>
    </cfRule>
  </conditionalFormatting>
  <conditionalFormatting sqref="B71:B85">
    <cfRule type="duplicateValues" dxfId="40" priority="38" stopIfTrue="1"/>
    <cfRule type="duplicateValues" dxfId="39" priority="38"/>
  </conditionalFormatting>
  <conditionalFormatting sqref="B92:B94">
    <cfRule type="duplicateValues" dxfId="38" priority="37"/>
  </conditionalFormatting>
  <conditionalFormatting sqref="B95:B99 B1 B104:B107 B109:B116 B48:B65 B71:B91">
    <cfRule type="duplicateValues" dxfId="37" priority="35" stopIfTrue="1"/>
    <cfRule type="duplicateValues" dxfId="36" priority="35"/>
  </conditionalFormatting>
  <conditionalFormatting sqref="B95:B99 B1:B17 B104:B107 B109:B116 B48:B65 B71:B91">
    <cfRule type="duplicateValues" dxfId="35" priority="34"/>
  </conditionalFormatting>
  <conditionalFormatting sqref="B95:B99 B104:B107 B109:B116 B1:B65 B71:B91">
    <cfRule type="duplicateValues" dxfId="34" priority="33"/>
  </conditionalFormatting>
  <conditionalFormatting sqref="C2:C85">
    <cfRule type="duplicateValues" dxfId="33" priority="39"/>
  </conditionalFormatting>
  <conditionalFormatting sqref="C6:C70">
    <cfRule type="duplicateValues" dxfId="32" priority="42"/>
  </conditionalFormatting>
  <conditionalFormatting sqref="C71:C85">
    <cfRule type="duplicateValues" dxfId="31" priority="36" stopIfTrue="1"/>
    <cfRule type="duplicateValues" dxfId="30" priority="43"/>
  </conditionalFormatting>
  <conditionalFormatting sqref="C74:C76">
    <cfRule type="duplicateValues" dxfId="29" priority="32" stopIfTrue="1"/>
    <cfRule type="duplicateValues" dxfId="28" priority="44"/>
  </conditionalFormatting>
  <conditionalFormatting sqref="C77:C80">
    <cfRule type="duplicateValues" dxfId="27" priority="30"/>
    <cfRule type="duplicateValues" dxfId="26" priority="31" stopIfTrue="1"/>
  </conditionalFormatting>
  <conditionalFormatting sqref="C86">
    <cfRule type="duplicateValues" dxfId="25" priority="28"/>
    <cfRule type="duplicateValues" dxfId="24" priority="29" stopIfTrue="1"/>
  </conditionalFormatting>
  <conditionalFormatting sqref="C87:C91">
    <cfRule type="duplicateValues" dxfId="23" priority="19"/>
    <cfRule type="duplicateValues" dxfId="22" priority="20" stopIfTrue="1"/>
    <cfRule type="duplicateValues" dxfId="21" priority="21"/>
    <cfRule type="duplicateValues" dxfId="20" priority="22"/>
  </conditionalFormatting>
  <conditionalFormatting sqref="C92:C94 C1:C85">
    <cfRule type="duplicateValues" dxfId="19" priority="24"/>
  </conditionalFormatting>
  <conditionalFormatting sqref="C95:C99">
    <cfRule type="duplicateValues" dxfId="18" priority="14"/>
    <cfRule type="duplicateValues" dxfId="17" priority="15" stopIfTrue="1"/>
    <cfRule type="duplicateValues" dxfId="16" priority="16"/>
    <cfRule type="duplicateValues" dxfId="15" priority="17"/>
  </conditionalFormatting>
  <conditionalFormatting sqref="C104:C107">
    <cfRule type="duplicateValues" dxfId="14" priority="10"/>
    <cfRule type="duplicateValues" dxfId="13" priority="11" stopIfTrue="1"/>
    <cfRule type="duplicateValues" dxfId="12" priority="12"/>
    <cfRule type="duplicateValues" dxfId="11" priority="13"/>
  </conditionalFormatting>
  <conditionalFormatting sqref="C109:C114">
    <cfRule type="duplicateValues" dxfId="10" priority="6"/>
    <cfRule type="duplicateValues" dxfId="9" priority="7" stopIfTrue="1"/>
    <cfRule type="duplicateValues" dxfId="8" priority="8"/>
    <cfRule type="duplicateValues" dxfId="7" priority="9"/>
  </conditionalFormatting>
  <conditionalFormatting sqref="C115:C116">
    <cfRule type="duplicateValues" dxfId="6" priority="2"/>
    <cfRule type="duplicateValues" dxfId="5" priority="2" stopIfTrue="1"/>
    <cfRule type="duplicateValues" dxfId="4" priority="3"/>
    <cfRule type="duplicateValues" dxfId="3" priority="4"/>
  </conditionalFormatting>
  <conditionalFormatting sqref="L1:M116">
    <cfRule type="cellIs" dxfId="2" priority="5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</vt:i4>
      </vt:variant>
    </vt:vector>
  </HeadingPairs>
  <TitlesOfParts>
    <vt:vector size="26" baseType="lpstr">
      <vt:lpstr>correls (2)</vt:lpstr>
      <vt:lpstr>China</vt:lpstr>
      <vt:lpstr>PAIR_Monitor</vt:lpstr>
      <vt:lpstr>BETAS</vt:lpstr>
      <vt:lpstr>Sheet3</vt:lpstr>
      <vt:lpstr>Sheet2</vt:lpstr>
      <vt:lpstr>Sheet1</vt:lpstr>
      <vt:lpstr>P&amp;L Pivot</vt:lpstr>
      <vt:lpstr>Master P&amp;L</vt:lpstr>
      <vt:lpstr>Options</vt:lpstr>
      <vt:lpstr>Options Price</vt:lpstr>
      <vt:lpstr>Check</vt:lpstr>
      <vt:lpstr>Input_APM</vt:lpstr>
      <vt:lpstr>Input_APM (Zenith)</vt:lpstr>
      <vt:lpstr>Check (Zenith)</vt:lpstr>
      <vt:lpstr>Auxiliar</vt:lpstr>
      <vt:lpstr>CDS</vt:lpstr>
      <vt:lpstr>Posições Custódia</vt:lpstr>
      <vt:lpstr>Check result</vt:lpstr>
      <vt:lpstr>Precificação</vt:lpstr>
      <vt:lpstr>Hoje</vt:lpstr>
      <vt:lpstr>Input_Master</vt:lpstr>
      <vt:lpstr>Input_Zenith</vt:lpstr>
      <vt:lpstr>Ontem</vt:lpstr>
      <vt:lpstr>'Master P&amp;L'!Print_Area</vt:lpstr>
      <vt:lpstr>'P&amp;L Pivot'!Print_Area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Grozdea</dc:creator>
  <cp:keywords/>
  <dc:description/>
  <cp:lastModifiedBy>Daniel Grozdea</cp:lastModifiedBy>
  <cp:revision/>
  <cp:lastPrinted>2025-06-18T21:32:50Z</cp:lastPrinted>
  <dcterms:created xsi:type="dcterms:W3CDTF">2024-03-18T20:23:35Z</dcterms:created>
  <dcterms:modified xsi:type="dcterms:W3CDTF">2026-02-03T21:23:34Z</dcterms:modified>
  <cp:category/>
  <cp:contentStatus/>
</cp:coreProperties>
</file>